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 activeTab="7"/>
  </bookViews>
  <sheets>
    <sheet name="HFxFS" sheetId="1" r:id="rId1"/>
    <sheet name="HFxHP" sheetId="2" r:id="rId2"/>
    <sheet name="HFxHP tot" sheetId="3" r:id="rId3"/>
    <sheet name="HPxHC" sheetId="4" r:id="rId4"/>
    <sheet name="HPxHCtot" sheetId="5" r:id="rId5"/>
    <sheet name="HFxHC" sheetId="6" r:id="rId6"/>
    <sheet name="HFxHCtot" sheetId="7" r:id="rId7"/>
    <sheet name="indikatori" sheetId="8" r:id="rId8"/>
  </sheets>
  <calcPr calcId="152511"/>
</workbook>
</file>

<file path=xl/calcChain.xml><?xml version="1.0" encoding="utf-8"?>
<calcChain xmlns="http://schemas.openxmlformats.org/spreadsheetml/2006/main">
  <c r="Z31" i="8" l="1"/>
  <c r="Z33" i="8"/>
  <c r="L19" i="7" l="1"/>
  <c r="L9" i="7" l="1"/>
  <c r="L7" i="7"/>
  <c r="L6" i="7"/>
  <c r="L5" i="7"/>
  <c r="L4" i="7"/>
  <c r="L3" i="7"/>
  <c r="L14" i="7"/>
  <c r="L13" i="7"/>
  <c r="L12" i="7"/>
  <c r="L11" i="7"/>
  <c r="J17" i="7" l="1"/>
  <c r="I17" i="7"/>
  <c r="H17" i="7"/>
  <c r="G17" i="7"/>
  <c r="F17" i="7"/>
  <c r="D17" i="7"/>
  <c r="L16" i="7"/>
  <c r="K8" i="7"/>
  <c r="J8" i="7"/>
  <c r="J10" i="7" s="1"/>
  <c r="I8" i="7"/>
  <c r="I10" i="7" s="1"/>
  <c r="H8" i="7"/>
  <c r="H10" i="7" s="1"/>
  <c r="G8" i="7"/>
  <c r="G10" i="7" s="1"/>
  <c r="F8" i="7"/>
  <c r="F10" i="7" s="1"/>
  <c r="E8" i="7"/>
  <c r="D8" i="7"/>
  <c r="G15" i="7" l="1"/>
  <c r="F15" i="7"/>
  <c r="I15" i="7"/>
  <c r="L8" i="7"/>
  <c r="K10" i="7"/>
  <c r="H15" i="7"/>
  <c r="J15" i="7"/>
  <c r="E10" i="7"/>
  <c r="E15" i="7" l="1"/>
  <c r="L10" i="7"/>
  <c r="E34" i="3"/>
  <c r="F34" i="3"/>
  <c r="E17" i="7" l="1"/>
  <c r="L17" i="7" l="1"/>
  <c r="K15" i="7"/>
  <c r="L15" i="7" s="1"/>
  <c r="D10" i="7"/>
  <c r="U64" i="8"/>
  <c r="S57" i="8"/>
  <c r="W47" i="8"/>
  <c r="U47" i="8"/>
  <c r="U46" i="8" s="1"/>
  <c r="U45" i="8" s="1"/>
  <c r="W36" i="8"/>
  <c r="Y33" i="8"/>
  <c r="X33" i="8"/>
  <c r="W33" i="8"/>
  <c r="V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Z32" i="8"/>
  <c r="Y32" i="8"/>
  <c r="X32" i="8"/>
  <c r="W32" i="8"/>
  <c r="V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Y31" i="8"/>
  <c r="X31" i="8"/>
  <c r="W31" i="8"/>
  <c r="V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Z30" i="8"/>
  <c r="Y30" i="8"/>
  <c r="X30" i="8"/>
  <c r="W30" i="8"/>
  <c r="V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N28" i="8"/>
  <c r="M28" i="8"/>
  <c r="L28" i="8"/>
  <c r="K28" i="8"/>
  <c r="J28" i="8"/>
  <c r="I28" i="8"/>
  <c r="H28" i="8"/>
  <c r="G28" i="8"/>
  <c r="F28" i="8"/>
  <c r="E28" i="8"/>
  <c r="D28" i="8"/>
  <c r="C28" i="8"/>
  <c r="Z27" i="8"/>
  <c r="Y27" i="8"/>
  <c r="X27" i="8"/>
  <c r="W27" i="8"/>
  <c r="V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J26" i="8"/>
  <c r="I26" i="8"/>
  <c r="H26" i="8"/>
  <c r="G26" i="8"/>
  <c r="F26" i="8"/>
  <c r="E26" i="8"/>
  <c r="D26" i="8"/>
  <c r="C26" i="8"/>
  <c r="Z25" i="8"/>
  <c r="Y25" i="8"/>
  <c r="X25" i="8"/>
  <c r="W25" i="8"/>
  <c r="V25" i="8"/>
  <c r="T25" i="8"/>
  <c r="S25" i="8"/>
  <c r="R25" i="8"/>
  <c r="Q25" i="8"/>
  <c r="P25" i="8"/>
  <c r="O25" i="8"/>
  <c r="N25" i="8"/>
  <c r="M25" i="8"/>
  <c r="L25" i="8"/>
  <c r="J25" i="8"/>
  <c r="I25" i="8"/>
  <c r="H25" i="8"/>
  <c r="G25" i="8"/>
  <c r="F25" i="8"/>
  <c r="E25" i="8"/>
  <c r="D25" i="8"/>
  <c r="C25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Z23" i="8"/>
  <c r="Y23" i="8"/>
  <c r="X23" i="8"/>
  <c r="W23" i="8"/>
  <c r="V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Z21" i="8"/>
  <c r="Y21" i="8"/>
  <c r="X21" i="8"/>
  <c r="W21" i="8"/>
  <c r="V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Z20" i="8"/>
  <c r="Y20" i="8"/>
  <c r="X20" i="8"/>
  <c r="W20" i="8"/>
  <c r="V20" i="8"/>
  <c r="T20" i="8"/>
  <c r="S20" i="8"/>
  <c r="R20" i="8"/>
  <c r="Q20" i="8"/>
  <c r="P20" i="8"/>
  <c r="O20" i="8"/>
  <c r="M20" i="8"/>
  <c r="L20" i="8"/>
  <c r="K20" i="8"/>
  <c r="J20" i="8"/>
  <c r="I20" i="8"/>
  <c r="H20" i="8"/>
  <c r="G20" i="8"/>
  <c r="F20" i="8"/>
  <c r="E20" i="8"/>
  <c r="D20" i="8"/>
  <c r="C20" i="8"/>
  <c r="Z19" i="8"/>
  <c r="Y19" i="8"/>
  <c r="X19" i="8"/>
  <c r="W19" i="8"/>
  <c r="V19" i="8"/>
  <c r="T19" i="8"/>
  <c r="S19" i="8"/>
  <c r="R19" i="8"/>
  <c r="Q19" i="8"/>
  <c r="P19" i="8"/>
  <c r="O19" i="8"/>
  <c r="M19" i="8"/>
  <c r="L19" i="8"/>
  <c r="K19" i="8"/>
  <c r="J19" i="8"/>
  <c r="I19" i="8"/>
  <c r="H19" i="8"/>
  <c r="G19" i="8"/>
  <c r="F19" i="8"/>
  <c r="E19" i="8"/>
  <c r="D19" i="8"/>
  <c r="C19" i="8"/>
  <c r="Z17" i="8"/>
  <c r="Y17" i="8"/>
  <c r="X17" i="8"/>
  <c r="W17" i="8"/>
  <c r="V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Z16" i="8"/>
  <c r="Y16" i="8"/>
  <c r="X16" i="8"/>
  <c r="W16" i="8"/>
  <c r="V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N14" i="8"/>
  <c r="M14" i="8"/>
  <c r="L14" i="8"/>
  <c r="K14" i="8"/>
  <c r="J14" i="8"/>
  <c r="I14" i="8"/>
  <c r="H14" i="8"/>
  <c r="G14" i="8"/>
  <c r="F14" i="8"/>
  <c r="E14" i="8"/>
  <c r="D14" i="8"/>
  <c r="C14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Z11" i="8"/>
  <c r="Y11" i="8"/>
  <c r="X11" i="8"/>
  <c r="W11" i="8"/>
  <c r="V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Z10" i="8"/>
  <c r="Y10" i="8"/>
  <c r="X10" i="8"/>
  <c r="W10" i="8"/>
  <c r="V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Z9" i="8"/>
  <c r="Y9" i="8"/>
  <c r="X9" i="8"/>
  <c r="W9" i="8"/>
  <c r="V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Z8" i="8"/>
  <c r="Y8" i="8"/>
  <c r="X8" i="8"/>
  <c r="W8" i="8"/>
  <c r="V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Z6" i="8"/>
  <c r="Y6" i="8"/>
  <c r="X6" i="8"/>
  <c r="W6" i="8"/>
  <c r="V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Z4" i="8"/>
  <c r="Y4" i="8"/>
  <c r="X4" i="8"/>
  <c r="W4" i="8"/>
  <c r="V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F13" i="6"/>
  <c r="E13" i="6"/>
  <c r="D13" i="6"/>
  <c r="G10" i="6"/>
  <c r="F10" i="6"/>
  <c r="E10" i="6"/>
  <c r="I9" i="6"/>
  <c r="H9" i="6"/>
  <c r="F9" i="6"/>
  <c r="E9" i="6"/>
  <c r="J8" i="6"/>
  <c r="I8" i="6"/>
  <c r="H8" i="6"/>
  <c r="G8" i="6"/>
  <c r="F8" i="6"/>
  <c r="E8" i="6"/>
  <c r="J7" i="6"/>
  <c r="I7" i="6"/>
  <c r="H7" i="6"/>
  <c r="F7" i="6"/>
  <c r="E7" i="6"/>
  <c r="J6" i="6"/>
  <c r="I6" i="6"/>
  <c r="H6" i="6"/>
  <c r="G6" i="6"/>
  <c r="F6" i="6"/>
  <c r="E6" i="6"/>
  <c r="H32" i="5"/>
  <c r="I15" i="5"/>
  <c r="G15" i="5"/>
  <c r="F15" i="5"/>
  <c r="E15" i="5"/>
  <c r="D15" i="5"/>
  <c r="I13" i="5"/>
  <c r="G13" i="5"/>
  <c r="E13" i="5"/>
  <c r="D13" i="5"/>
  <c r="I12" i="5"/>
  <c r="G12" i="5"/>
  <c r="F12" i="5"/>
  <c r="E12" i="5"/>
  <c r="D12" i="5"/>
  <c r="I7" i="5"/>
  <c r="G7" i="5"/>
  <c r="F7" i="5"/>
  <c r="E7" i="5"/>
  <c r="D7" i="5"/>
  <c r="I5" i="5"/>
  <c r="G5" i="5"/>
  <c r="F5" i="5"/>
  <c r="E5" i="5"/>
  <c r="D5" i="5"/>
  <c r="I4" i="5"/>
  <c r="G4" i="5"/>
  <c r="F4" i="5"/>
  <c r="E4" i="5"/>
  <c r="D4" i="5"/>
  <c r="I21" i="4"/>
  <c r="G21" i="4"/>
  <c r="F21" i="4"/>
  <c r="E21" i="4"/>
  <c r="D21" i="4"/>
  <c r="C21" i="4"/>
  <c r="O34" i="3"/>
  <c r="G34" i="3"/>
  <c r="C34" i="3"/>
  <c r="P33" i="3"/>
  <c r="O33" i="3"/>
  <c r="R33" i="3" s="1"/>
  <c r="H33" i="3"/>
  <c r="M33" i="3" s="1"/>
  <c r="P32" i="3"/>
  <c r="O32" i="3"/>
  <c r="H32" i="3"/>
  <c r="M32" i="3" s="1"/>
  <c r="P31" i="3"/>
  <c r="O31" i="3"/>
  <c r="R31" i="3" s="1"/>
  <c r="H31" i="3"/>
  <c r="M31" i="3" s="1"/>
  <c r="P30" i="3"/>
  <c r="L30" i="3"/>
  <c r="O30" i="3" s="1"/>
  <c r="P29" i="3"/>
  <c r="O29" i="3"/>
  <c r="Q29" i="3" s="1"/>
  <c r="M29" i="3"/>
  <c r="P28" i="3"/>
  <c r="L28" i="3"/>
  <c r="O28" i="3" s="1"/>
  <c r="R28" i="3" s="1"/>
  <c r="H28" i="3"/>
  <c r="P27" i="3"/>
  <c r="L27" i="3"/>
  <c r="O27" i="3" s="1"/>
  <c r="R27" i="3" s="1"/>
  <c r="H27" i="3"/>
  <c r="P26" i="3"/>
  <c r="O26" i="3"/>
  <c r="H26" i="3"/>
  <c r="M26" i="3" s="1"/>
  <c r="P25" i="3"/>
  <c r="L25" i="3"/>
  <c r="O25" i="3" s="1"/>
  <c r="R25" i="3" s="1"/>
  <c r="H25" i="3"/>
  <c r="P24" i="3"/>
  <c r="L24" i="3"/>
  <c r="O24" i="3" s="1"/>
  <c r="R24" i="3" s="1"/>
  <c r="H24" i="3"/>
  <c r="P23" i="3"/>
  <c r="O23" i="3"/>
  <c r="Q23" i="3" s="1"/>
  <c r="M23" i="3"/>
  <c r="P22" i="3"/>
  <c r="L22" i="3"/>
  <c r="O22" i="3" s="1"/>
  <c r="R22" i="3" s="1"/>
  <c r="H22" i="3"/>
  <c r="P21" i="3"/>
  <c r="L21" i="3"/>
  <c r="O21" i="3" s="1"/>
  <c r="R21" i="3" s="1"/>
  <c r="H21" i="3"/>
  <c r="P20" i="3"/>
  <c r="L20" i="3"/>
  <c r="O20" i="3" s="1"/>
  <c r="R20" i="3" s="1"/>
  <c r="H20" i="3"/>
  <c r="P19" i="3"/>
  <c r="L19" i="3"/>
  <c r="O19" i="3" s="1"/>
  <c r="R19" i="3" s="1"/>
  <c r="H19" i="3"/>
  <c r="P18" i="3"/>
  <c r="L18" i="3"/>
  <c r="O18" i="3" s="1"/>
  <c r="R18" i="3" s="1"/>
  <c r="H18" i="3"/>
  <c r="P17" i="3"/>
  <c r="L17" i="3"/>
  <c r="O17" i="3" s="1"/>
  <c r="R17" i="3" s="1"/>
  <c r="H17" i="3"/>
  <c r="P16" i="3"/>
  <c r="O16" i="3"/>
  <c r="Q16" i="3" s="1"/>
  <c r="M16" i="3"/>
  <c r="P15" i="3"/>
  <c r="L15" i="3"/>
  <c r="O15" i="3" s="1"/>
  <c r="R15" i="3" s="1"/>
  <c r="H15" i="3"/>
  <c r="P14" i="3"/>
  <c r="O14" i="3"/>
  <c r="Q14" i="3" s="1"/>
  <c r="M14" i="3"/>
  <c r="P13" i="3"/>
  <c r="O13" i="3"/>
  <c r="Q13" i="3" s="1"/>
  <c r="M13" i="3"/>
  <c r="P12" i="3"/>
  <c r="O12" i="3"/>
  <c r="R12" i="3" s="1"/>
  <c r="H12" i="3"/>
  <c r="M12" i="3" s="1"/>
  <c r="P11" i="3"/>
  <c r="O11" i="3"/>
  <c r="R11" i="3" s="1"/>
  <c r="S12" i="3" s="1"/>
  <c r="P10" i="3"/>
  <c r="L10" i="3"/>
  <c r="O10" i="3" s="1"/>
  <c r="H10" i="3"/>
  <c r="P9" i="3"/>
  <c r="O9" i="3"/>
  <c r="H9" i="3"/>
  <c r="M9" i="3" s="1"/>
  <c r="P8" i="3"/>
  <c r="L8" i="3"/>
  <c r="O8" i="3" s="1"/>
  <c r="R8" i="3" s="1"/>
  <c r="H8" i="3"/>
  <c r="P7" i="3"/>
  <c r="O7" i="3"/>
  <c r="H7" i="3"/>
  <c r="M7" i="3" s="1"/>
  <c r="P6" i="3"/>
  <c r="L6" i="3"/>
  <c r="O6" i="3" s="1"/>
  <c r="R6" i="3" s="1"/>
  <c r="H6" i="3"/>
  <c r="P5" i="3"/>
  <c r="O5" i="3"/>
  <c r="H5" i="3"/>
  <c r="M5" i="3" s="1"/>
  <c r="P4" i="3"/>
  <c r="O4" i="3"/>
  <c r="R4" i="3" s="1"/>
  <c r="H4" i="3"/>
  <c r="M4" i="3" s="1"/>
  <c r="L3" i="3"/>
  <c r="O3" i="3" s="1"/>
  <c r="H3" i="3"/>
  <c r="O15" i="1"/>
  <c r="Q10" i="1"/>
  <c r="Q9" i="1"/>
  <c r="Q8" i="1"/>
  <c r="Q4" i="1"/>
  <c r="F32" i="5" l="1"/>
  <c r="M3" i="3"/>
  <c r="M17" i="3"/>
  <c r="M21" i="3"/>
  <c r="D15" i="7"/>
  <c r="U44" i="8"/>
  <c r="U20" i="8"/>
  <c r="U25" i="8"/>
  <c r="U33" i="8"/>
  <c r="U32" i="8"/>
  <c r="U17" i="8"/>
  <c r="U11" i="8"/>
  <c r="U10" i="8"/>
  <c r="U8" i="8"/>
  <c r="P34" i="3"/>
  <c r="S18" i="3"/>
  <c r="S22" i="3"/>
  <c r="G32" i="5"/>
  <c r="D32" i="5"/>
  <c r="I32" i="5"/>
  <c r="S33" i="3"/>
  <c r="M19" i="3"/>
  <c r="S20" i="3"/>
  <c r="S31" i="3"/>
  <c r="E32" i="5"/>
  <c r="S4" i="3"/>
  <c r="S6" i="3"/>
  <c r="S8" i="3"/>
  <c r="M24" i="3"/>
  <c r="S25" i="3"/>
  <c r="S27" i="3"/>
  <c r="M28" i="3"/>
  <c r="M6" i="3"/>
  <c r="M8" i="3"/>
  <c r="M10" i="3"/>
  <c r="R16" i="3"/>
  <c r="S16" i="3" s="1"/>
  <c r="S17" i="3"/>
  <c r="S19" i="3"/>
  <c r="S21" i="3"/>
  <c r="R23" i="3"/>
  <c r="S23" i="3" s="1"/>
  <c r="S24" i="3"/>
  <c r="Q26" i="3"/>
  <c r="S28" i="3"/>
  <c r="M30" i="3"/>
  <c r="Q32" i="3"/>
  <c r="H34" i="3"/>
  <c r="Q5" i="3"/>
  <c r="R5" i="3"/>
  <c r="S5" i="3" s="1"/>
  <c r="Q7" i="3"/>
  <c r="R7" i="3"/>
  <c r="S7" i="3" s="1"/>
  <c r="Q9" i="3"/>
  <c r="R9" i="3"/>
  <c r="S9" i="3" s="1"/>
  <c r="S15" i="3"/>
  <c r="R3" i="3"/>
  <c r="Q10" i="3"/>
  <c r="R10" i="3"/>
  <c r="S10" i="3" s="1"/>
  <c r="R30" i="3"/>
  <c r="S30" i="3" s="1"/>
  <c r="Q30" i="3"/>
  <c r="S34" i="3"/>
  <c r="Q4" i="3"/>
  <c r="Q11" i="3"/>
  <c r="R13" i="3"/>
  <c r="S13" i="3" s="1"/>
  <c r="R14" i="3"/>
  <c r="S14" i="3" s="1"/>
  <c r="M15" i="3"/>
  <c r="M18" i="3"/>
  <c r="M20" i="3"/>
  <c r="M22" i="3"/>
  <c r="M25" i="3"/>
  <c r="R26" i="3"/>
  <c r="S26" i="3" s="1"/>
  <c r="M27" i="3"/>
  <c r="R29" i="3"/>
  <c r="S29" i="3" s="1"/>
  <c r="R32" i="3"/>
  <c r="S32" i="3" s="1"/>
  <c r="Q33" i="3"/>
  <c r="Q19" i="1"/>
  <c r="U23" i="8" l="1"/>
  <c r="U21" i="8"/>
  <c r="U9" i="8"/>
  <c r="U6" i="8"/>
  <c r="U31" i="8"/>
  <c r="U30" i="8"/>
  <c r="U27" i="8"/>
  <c r="U4" i="8"/>
  <c r="U16" i="8"/>
  <c r="U19" i="8"/>
  <c r="M34" i="3"/>
  <c r="S3" i="3"/>
  <c r="Q34" i="3"/>
</calcChain>
</file>

<file path=xl/comments1.xml><?xml version="1.0" encoding="utf-8"?>
<comments xmlns="http://schemas.openxmlformats.org/spreadsheetml/2006/main">
  <authors>
    <author>Author</author>
  </authors>
  <commentLis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podatak iz fonda dato za spec.bol. za dijalizu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Y5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rast cena na malo od 3%</t>
        </r>
      </text>
    </comment>
    <comment ref="O70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from tab 3 tot</t>
        </r>
      </text>
    </comment>
    <comment ref="O71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from tab3tot HP1+HP2+HP3</t>
        </r>
      </text>
    </comment>
    <comment ref="O72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from tab3tot</t>
        </r>
      </text>
    </comment>
    <comment ref="O73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from tab 3</t>
        </r>
      </text>
    </comment>
    <comment ref="O74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from drug agency</t>
        </r>
      </text>
    </comment>
    <comment ref="R74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from drug agency data</t>
        </r>
      </text>
    </comment>
    <comment ref="W7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cifra dobijena iz Agencije za lekove, samo za lekove bez pomagala</t>
        </r>
      </text>
    </comment>
    <comment ref="Y7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podatak iy agencije ya lekove bey pomagala</t>
        </r>
      </text>
    </comment>
    <comment ref="O77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from tab2tot</t>
        </r>
      </text>
    </comment>
    <comment ref="O78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from table 2 hospitals minus donations and revenues from market</t>
        </r>
      </text>
    </comment>
    <comment ref="P78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substracted oop for hospitals from RSO data</t>
        </r>
      </text>
    </comment>
    <comment ref="O81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from tab 2 data</t>
        </r>
      </text>
    </comment>
    <comment ref="O82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HIF +MOH admin.</t>
        </r>
      </text>
    </comment>
    <comment ref="O83" authorId="0" shape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chamber of health institut.data</t>
        </r>
      </text>
    </comment>
    <comment ref="W9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procenjena cifra sa pomagalima</t>
        </r>
      </text>
    </comment>
  </commentList>
</comments>
</file>

<file path=xl/sharedStrings.xml><?xml version="1.0" encoding="utf-8"?>
<sst xmlns="http://schemas.openxmlformats.org/spreadsheetml/2006/main" count="1424" uniqueCount="393">
  <si>
    <t>Nacionalna valuta (000) National currency (000)</t>
  </si>
  <si>
    <t>Državni prihodi transferovani u državne šeme i šemu RZZO Government domestic revenues allocated to Governmental and health insurance(HI) schemes</t>
  </si>
  <si>
    <t>Državni transferi u ime odredjene grupacije Transfers by Government on behalf of specific group</t>
  </si>
  <si>
    <t>Transferi iz inostranstva distribuirani u državne šeme Transfers from abroad distributed in the state schemes</t>
  </si>
  <si>
    <t>Doprinosi od strane zaposlenih  za socijalno osiguranje                                  Social insurance contributes from employees</t>
  </si>
  <si>
    <t>Doprinosi na teret poslodavca  za socialno osiguranje                        Social insurance contributes from employers</t>
  </si>
  <si>
    <t>Dorinosi na teret samozaposlenih za socijalno osiguranje                                     Social insurance contributes from self-employed</t>
  </si>
  <si>
    <t>Ostali doprinosi za socijalno osiguranje Other social insurance contributes        Social insurance contributes from pension fund</t>
  </si>
  <si>
    <t>Plaćanja domaćinstava iz džepa                      Other revenues from house-holds</t>
  </si>
  <si>
    <t>Ostala plaćanja domaćinstava   Other revenes from households</t>
  </si>
  <si>
    <t>Plaćanja firmi  van obaveznog izdvajanja     Other revenues from enterprises</t>
  </si>
  <si>
    <t>Svi izvori finansiranja      All financing revenues</t>
  </si>
  <si>
    <t>Fin. seme u SHA 11          Fin.schemes in SHA 11</t>
  </si>
  <si>
    <t>SHA 11</t>
  </si>
  <si>
    <t> SHA1</t>
  </si>
  <si>
    <t>FS.1.1</t>
  </si>
  <si>
    <t>FS.1.2</t>
  </si>
  <si>
    <t>FS.2</t>
  </si>
  <si>
    <t>FS.3.1</t>
  </si>
  <si>
    <t>FS.3.2</t>
  </si>
  <si>
    <t>FS.3.3</t>
  </si>
  <si>
    <t>FS.3.4</t>
  </si>
  <si>
    <t>FS.5</t>
  </si>
  <si>
    <t>FS.6.1</t>
  </si>
  <si>
    <t>FS.6.2</t>
  </si>
  <si>
    <t>all FS</t>
  </si>
  <si>
    <t>HF.1.</t>
  </si>
  <si>
    <t>Drzavne šeme i  šeme osiguranja       Governmental schemes and HI schemes</t>
  </si>
  <si>
    <t xml:space="preserve">HF.1.1
</t>
  </si>
  <si>
    <t xml:space="preserve">Drzavne šeme     Governmental schemes </t>
  </si>
  <si>
    <t>9,035,889+4,843,901= 13,879,790</t>
  </si>
  <si>
    <t xml:space="preserve">   </t>
  </si>
  <si>
    <t>HF. 1.1.1</t>
  </si>
  <si>
    <t>Državne šeme                Central gov.schemes        MOH +MOD</t>
  </si>
  <si>
    <t>6,479,311 + 2,556,578 =9,035,889</t>
  </si>
  <si>
    <t>HF. 1.1.2</t>
  </si>
  <si>
    <t>Regionalne, lokalne, opštinske šeme              State/regional/local governmental schemes</t>
  </si>
  <si>
    <t>2,116,982 +2,726,919=4,843,901</t>
  </si>
  <si>
    <t>HF.1.2</t>
  </si>
  <si>
    <t>Šema obaveznog zdravstvenog osiguranja  Compulsory health insurance schemes</t>
  </si>
  <si>
    <t>HF. 1.2.1</t>
  </si>
  <si>
    <t> HF. 1.2.1</t>
  </si>
  <si>
    <t>Šema Republickog zavoda za zdravstveno osiguranje               Social health insurance</t>
  </si>
  <si>
    <t>HF.2</t>
  </si>
  <si>
    <t>Dobrovoljna plaćanja za zdravstvenu zaštitu Voluntary health care payment schemes</t>
  </si>
  <si>
    <t>HF.2.1</t>
  </si>
  <si>
    <t>Dobrovoljno osiguranje Voluntary health insurance schemes</t>
  </si>
  <si>
    <t xml:space="preserve"> </t>
  </si>
  <si>
    <t>HF 2.3</t>
  </si>
  <si>
    <t xml:space="preserve">HF.2.5
</t>
  </si>
  <si>
    <t>Preduzeća  Enterprises</t>
  </si>
  <si>
    <t> HF.3</t>
  </si>
  <si>
    <t>Plaćanja iz džepa   Household out-of-pocket payment</t>
  </si>
  <si>
    <t>HF.3</t>
  </si>
  <si>
    <t xml:space="preserve">HF.2.3
</t>
  </si>
  <si>
    <t>HF.3.1</t>
  </si>
  <si>
    <t>Total</t>
  </si>
  <si>
    <t>H</t>
  </si>
  <si>
    <t>Public providers</t>
  </si>
  <si>
    <t>Ustanove u mreži</t>
  </si>
  <si>
    <t>Javne zdravstvene ustanove u mreži</t>
  </si>
  <si>
    <t>HP_ful</t>
  </si>
  <si>
    <t>Ukupno      Total</t>
  </si>
  <si>
    <t>Ministarstvo zdravlja           Ministry of Health</t>
  </si>
  <si>
    <t>Ministarstvo odbrane           Ministry of Defense</t>
  </si>
  <si>
    <t>Od AP   Autonomic Region</t>
  </si>
  <si>
    <t>Od opština   Municipality</t>
  </si>
  <si>
    <t>Od RFZO                                 RHIF</t>
  </si>
  <si>
    <t>Iz donacija                          Donations</t>
  </si>
  <si>
    <t>Ostali prihodi             Other income</t>
  </si>
  <si>
    <t>HP.1.1 Bolnica</t>
  </si>
  <si>
    <t>HP.1.2 Psihijatrijska bolnica</t>
  </si>
  <si>
    <t>HP.1.3 Specijalna bolnica</t>
  </si>
  <si>
    <t>HP.1.3.1 Rehabilitaciona bolnica</t>
  </si>
  <si>
    <t>HP.2.1 Ustanova socijalne zaštite</t>
  </si>
  <si>
    <t>HP.3.2 Stomatološka služba</t>
  </si>
  <si>
    <t>HP.3.4.9 Multicpecijalistička služba</t>
  </si>
  <si>
    <t>HP.3.4.9.1 DZ bez kreveta</t>
  </si>
  <si>
    <t>HP.3.4.9.2 DZ sa krevetima</t>
  </si>
  <si>
    <t>HP.3.4.9.5 Gerijatrija</t>
  </si>
  <si>
    <t>HP.3.9 Hiperbarična služba</t>
  </si>
  <si>
    <t>HP.4.1 HMP</t>
  </si>
  <si>
    <t>HP.4.2.1 Transfuzija</t>
  </si>
  <si>
    <t>HP.4.2.2 Sudska medicina</t>
  </si>
  <si>
    <t>HP.5 Apoteka</t>
  </si>
  <si>
    <t>HP.6 ZJZ i IJZ</t>
  </si>
  <si>
    <t>HP.7  Administracija</t>
  </si>
  <si>
    <t>Ukupno</t>
  </si>
  <si>
    <t>Ministarstvo zdravlja     Ministry of Health</t>
  </si>
  <si>
    <t>Ministarstvo odbrane Ministry of Defense</t>
  </si>
  <si>
    <t>Od AP Autonomic Region</t>
  </si>
  <si>
    <t>Od 
opština Municipality</t>
  </si>
  <si>
    <t>Od RFZO      Health Insurance Fund</t>
  </si>
  <si>
    <t>Drzavne šeme Government schemes</t>
  </si>
  <si>
    <t>Privatno osiguranje u  privatnim ustanovama Private schemes in private providers</t>
  </si>
  <si>
    <t>Donacije u državne ustanove OOP Donations in Public providers</t>
  </si>
  <si>
    <t>Iz džepa u drzavne ustanove      OOP in Public providers</t>
  </si>
  <si>
    <t>Ukupno iz džepa u državne ustanove      Total OOP in Pub. Prov.</t>
  </si>
  <si>
    <t>Ukupno u drzavne ustanove Overall in pub.prov.</t>
  </si>
  <si>
    <t>Ukupno u privatne ustanove iz dzepa                          OOP in Private providers</t>
  </si>
  <si>
    <t>Ukupno iz dzepa u drzavne i privatne ustanove      Total OOP in Pub.and Priv. Providers HF.3</t>
  </si>
  <si>
    <t>Ukupno u privatne ustanove iz džepa i sa privatnim osiguranjem Overall in private providers with private insurance</t>
  </si>
  <si>
    <t>Ukupno u privatne ustanove iz džepa sa državnim plaćanjem Overall in Private providers goverment payment and OOP</t>
  </si>
  <si>
    <t>Ukupno privatna plaćanja u privatne i državne ustanove            privatate schemes  in privatate and public provider</t>
  </si>
  <si>
    <t xml:space="preserve">Ukupno                             Total </t>
  </si>
  <si>
    <t>HF.1.1.1. MH</t>
  </si>
  <si>
    <t>HF.1.1.1.2 MD</t>
  </si>
  <si>
    <t>HF.1.1.2</t>
  </si>
  <si>
    <t>HF.1.1.2.3</t>
  </si>
  <si>
    <t>HF.1.2.1</t>
  </si>
  <si>
    <t>HF.1</t>
  </si>
  <si>
    <t xml:space="preserve">HF.3 </t>
  </si>
  <si>
    <t xml:space="preserve">
HF.3 </t>
  </si>
  <si>
    <t xml:space="preserve">HF.3                     </t>
  </si>
  <si>
    <t>HF.1+HF.3</t>
  </si>
  <si>
    <t xml:space="preserve">HF.3                      </t>
  </si>
  <si>
    <t>HF2+HF3 in private providers</t>
  </si>
  <si>
    <t>HF.1+HF.2+HF.3 in private providers</t>
  </si>
  <si>
    <t xml:space="preserve">HF.2 + HF.3 </t>
  </si>
  <si>
    <t>HF1.+HF.2+HF.3</t>
  </si>
  <si>
    <t>HP.1.1 General hospital</t>
  </si>
  <si>
    <t>HP.1.1 Hospitals without contract with HIF</t>
  </si>
  <si>
    <t>1.1 Van netvorka bolnica</t>
  </si>
  <si>
    <t>HP.1.1 Private hospital</t>
  </si>
  <si>
    <t>1.1. Privatna bolnica</t>
  </si>
  <si>
    <t>HP.1.2 Mental hospital</t>
  </si>
  <si>
    <t>HP.1.3 Private special hospital</t>
  </si>
  <si>
    <t>HP.1.3 Privatna specijalna</t>
  </si>
  <si>
    <t>HP.1.3 Specialized hospital</t>
  </si>
  <si>
    <t>HP.1.3.1 Private rehabilitation</t>
  </si>
  <si>
    <t>HP.1.3.1 Privatna rehabilitaciona</t>
  </si>
  <si>
    <t>HP.1.3.1 Rehabilitation hospital</t>
  </si>
  <si>
    <t>HP.2.1 Long-term facility</t>
  </si>
  <si>
    <t>HP.2.1 Ustanova socijalne zaštite priv</t>
  </si>
  <si>
    <t xml:space="preserve">HP.2.1 Ustanova socijalne zaštite drz </t>
  </si>
  <si>
    <t>HP.3.1 Doctors surgery</t>
  </si>
  <si>
    <t>HP.3.1 Ordinacija lekara</t>
  </si>
  <si>
    <t>HP.3.2 Dental practice</t>
  </si>
  <si>
    <t>HP.3.2 Privatna stomatološka ordinacija</t>
  </si>
  <si>
    <t>HP.3.4.9 Private Ambulatory Center</t>
  </si>
  <si>
    <t>HP.3.4.9 Privatna multispecijalistička</t>
  </si>
  <si>
    <t>HP.3.4.9 Ambulatory Center</t>
  </si>
  <si>
    <t>HP.3.4.9.1 A.C.without beds</t>
  </si>
  <si>
    <t>HP.3.4.9.2 A.C.with beds</t>
  </si>
  <si>
    <t>HP.3.5 Geriatrics</t>
  </si>
  <si>
    <t>HP.3.9 Hyperbaric Medicine</t>
  </si>
  <si>
    <t>HP.4.1 ER</t>
  </si>
  <si>
    <t>HP.4.1 Hitna Medicinska Pomoć</t>
  </si>
  <si>
    <t>HP.4.2 Private diagnostic laboratory</t>
  </si>
  <si>
    <t>HP.4.2 Dijagnosticka laboratorija privatna</t>
  </si>
  <si>
    <t>HP.4.2.1 Transfusion</t>
  </si>
  <si>
    <t>HP.4.2.2 Forensic Medicine</t>
  </si>
  <si>
    <t>HP.5 Private Pharmacy</t>
  </si>
  <si>
    <t>HP.5.Apoteka privatna</t>
  </si>
  <si>
    <t>HP.5 Pharmacy</t>
  </si>
  <si>
    <t>HP.5.Apoteka</t>
  </si>
  <si>
    <t>HP.6 Preventive care provider</t>
  </si>
  <si>
    <t>HP.6. ZJZ i IJZ sa med.rada</t>
  </si>
  <si>
    <t>HP.6.0.1 Private Occupational care provider</t>
  </si>
  <si>
    <t>HP.6.0.1.Medicina rada privatna</t>
  </si>
  <si>
    <t>HP.6.0.1 Occupational care</t>
  </si>
  <si>
    <t>HP.6.0.1 Medicina rada</t>
  </si>
  <si>
    <t>HP.7 Administration</t>
  </si>
  <si>
    <t>HP.7. Administracija</t>
  </si>
  <si>
    <t>HP.8 Health institution unclassified within public network</t>
  </si>
  <si>
    <t>HP.8 Ustanova neklasifikovana u mreži javnih</t>
  </si>
  <si>
    <t>HP.9 Health institution abroad</t>
  </si>
  <si>
    <t>HP.9.Inostrana ustanova</t>
  </si>
  <si>
    <t>HPxHC providers in public network</t>
  </si>
  <si>
    <t>Pružaoci zdravstvenih usluga u mreži</t>
  </si>
  <si>
    <t>Lečenje                       Curative care</t>
  </si>
  <si>
    <t>Rehabilitacija Rehabilitation</t>
  </si>
  <si>
    <t>Dugotrajna
nega                          Long term care</t>
  </si>
  <si>
    <t>Pomoćne
usluge                               Ancillary services</t>
  </si>
  <si>
    <t>Lekovi i medicinska pomagala                                 Drugs and medical devices</t>
  </si>
  <si>
    <t>Javnog
zdravlja usluge         Public and occupational health</t>
  </si>
  <si>
    <t>Državna
uprava                                Goverment administration</t>
  </si>
  <si>
    <t>HC.1</t>
  </si>
  <si>
    <t>HC.2</t>
  </si>
  <si>
    <t>HC.3</t>
  </si>
  <si>
    <t>HC.4</t>
  </si>
  <si>
    <t>HC.5</t>
  </si>
  <si>
    <t>HC.6</t>
  </si>
  <si>
    <t>HC.7</t>
  </si>
  <si>
    <t xml:space="preserve">HP.6 Preventive +Occupational care provider </t>
  </si>
  <si>
    <t>HP.6 ZJZ i IJZ i med.rada</t>
  </si>
  <si>
    <t>Grand Total</t>
  </si>
  <si>
    <t>HPxHC total</t>
  </si>
  <si>
    <t>Dugotrajna
nega                                    Long term care</t>
  </si>
  <si>
    <t>Pomoćne
usluge                                            Ancillary services</t>
  </si>
  <si>
    <t>Javnog
zdravlja usluge   i med.rada      Public and occupational health</t>
  </si>
  <si>
    <t>Državna
uprava                                 Goverment administration</t>
  </si>
  <si>
    <t>HP.1.1 Hospitals without network</t>
  </si>
  <si>
    <t>HP.3.4.9.Amb.Cent van mreze</t>
  </si>
  <si>
    <t>HP.4.2.1.2. Dijaliza</t>
  </si>
  <si>
    <t xml:space="preserve">HP.6 Preventive  and Occupational care provider </t>
  </si>
  <si>
    <t>HP.6. ZJZ i IJZ</t>
  </si>
  <si>
    <t>u Državnim ustanovama</t>
  </si>
  <si>
    <t>Providers in public health network</t>
  </si>
  <si>
    <t>Pomoćne
usluge             Ancillary services</t>
  </si>
  <si>
    <t>Lekovi                                  Drugs</t>
  </si>
  <si>
    <t>Javnog
zdravlja usluge         Public health services</t>
  </si>
  <si>
    <t>Državna
uprava                              Goverment administration</t>
  </si>
  <si>
    <t>HF_ful</t>
  </si>
  <si>
    <t>HF</t>
  </si>
  <si>
    <t xml:space="preserve"> Total</t>
  </si>
  <si>
    <t>1.(1.1)</t>
  </si>
  <si>
    <t>1.(1.1.2)</t>
  </si>
  <si>
    <t>1.(1.2.3)</t>
  </si>
  <si>
    <t>1.(2.1)</t>
  </si>
  <si>
    <t>Ukupno javno finansiranje Overall public financing</t>
  </si>
  <si>
    <t>Iz donacija domaćih   Donations domestic</t>
  </si>
  <si>
    <t>3.(1.)</t>
  </si>
  <si>
    <t>Ostali prihodi                           Other income</t>
  </si>
  <si>
    <t>3.(2.1)</t>
  </si>
  <si>
    <t>Ukupno ostali prihodi</t>
  </si>
  <si>
    <t>Ukupno                                   Total</t>
  </si>
  <si>
    <t>WHO ref</t>
  </si>
  <si>
    <t xml:space="preserve">REPUBLIC OF SERBIA  -   National Expenditure on Health  (000.000 Dinars) </t>
  </si>
  <si>
    <t>A</t>
  </si>
  <si>
    <t>Selected ratio indicators* for expenditures on health</t>
  </si>
  <si>
    <t>Total expenditure on health (THE) as % of GDP</t>
  </si>
  <si>
    <t>Financing Sources measurement</t>
  </si>
  <si>
    <t>External resources on health as % of THE</t>
  </si>
  <si>
    <t>Financing Agents measurement</t>
  </si>
  <si>
    <t>General government expenditure on health (GGHE) as % of THE</t>
  </si>
  <si>
    <t>Private sector expenditure on health (PvtHE) as % of THE</t>
  </si>
  <si>
    <t>GGHE as % of General government expenditure</t>
  </si>
  <si>
    <t>Social security funds as % of GGHE</t>
  </si>
  <si>
    <t>Prepaid and risk-pooling plans as % of PvtHE</t>
  </si>
  <si>
    <t>Private households' out-of-pocket payment as % of PvtHE</t>
  </si>
  <si>
    <t>Non-profit institutions expenditure on health as % of PvtHE</t>
  </si>
  <si>
    <t>Provider measurement</t>
  </si>
  <si>
    <t>Total expenditure on hospitals as % of THE</t>
  </si>
  <si>
    <t>Government expenditure on hospitals  as % of GGHE</t>
  </si>
  <si>
    <t>Function measurement</t>
  </si>
  <si>
    <t>Total expenditure on inpatient care as % of THE</t>
  </si>
  <si>
    <t>Government expenditure on inpatient care as % of GGHE</t>
  </si>
  <si>
    <t>Prevention and public health services as % of THE</t>
  </si>
  <si>
    <t>Resource Costs measurement</t>
  </si>
  <si>
    <t>Total expenditure on pharmaceuticals as % of THE</t>
  </si>
  <si>
    <t>Private expenditure on pharmaceuticals as % of PvtHE</t>
  </si>
  <si>
    <t>Total expenditure on human resources on health as % of THE</t>
  </si>
  <si>
    <t>Compensation of government health employees as % of GGHE</t>
  </si>
  <si>
    <t>Capital outlays as % of THE</t>
  </si>
  <si>
    <t>General government Capital outlays as % of GGHE</t>
  </si>
  <si>
    <t>B</t>
  </si>
  <si>
    <t>Selected per capita  indicators for expenditures on health</t>
  </si>
  <si>
    <t>Total expenditure on health / capita at exchange rate</t>
  </si>
  <si>
    <t>Total expenditure on health / capita at international dollar rate</t>
  </si>
  <si>
    <t>General government expenditure on health / cap x-rate</t>
  </si>
  <si>
    <t>General government expenditure on health / cap int. $ rate</t>
  </si>
  <si>
    <t>* These ratios and per capita levels are automatically derived using the aggregate figures in Sections below.</t>
  </si>
  <si>
    <t>C</t>
  </si>
  <si>
    <t>Financing Sources measurement for health expenditures (Million NCU)</t>
  </si>
  <si>
    <t>Public funds (FS.1)</t>
  </si>
  <si>
    <t/>
  </si>
  <si>
    <t>… Transfers from government to social security</t>
  </si>
  <si>
    <t>Private funds (FS.2)</t>
  </si>
  <si>
    <t>151 452</t>
  </si>
  <si>
    <t>… Mandated employer disbursements to social security</t>
  </si>
  <si>
    <t>… Employee contributions/premia to social security</t>
  </si>
  <si>
    <t>Rest of the world funds / External resources (FS.3)</t>
  </si>
  <si>
    <t>… Grants (FS.3.1)</t>
  </si>
  <si>
    <t>D</t>
  </si>
  <si>
    <t>Financing Agents measurement for health expenditures (Million NCU)</t>
  </si>
  <si>
    <t>Total expenditure on health</t>
  </si>
  <si>
    <t>… General government expenditure on health (HF.1)</t>
  </si>
  <si>
    <t>… … Territorial governments (HF.1.1)</t>
  </si>
  <si>
    <t>… … … Central government  (HF.1.1.1)</t>
  </si>
  <si>
    <t>… … … … of which Ministry of Health</t>
  </si>
  <si>
    <t>………………….other ministries</t>
  </si>
  <si>
    <t>… … … State, regional, provincial authorities (HF.1.1.2)</t>
  </si>
  <si>
    <t>… … … Local and municipal authorities (HF.1.1.3)</t>
  </si>
  <si>
    <t>… … Social security funds (HF.1.2)</t>
  </si>
  <si>
    <t>… … Extra-budgetary entities (HF.1.3)</t>
  </si>
  <si>
    <t>… …Parastatals corporations (HF.2.5.2)</t>
  </si>
  <si>
    <t>… … Entities managed mostly with external funds (HF.3.1)</t>
  </si>
  <si>
    <t>… … All other general government expenditure on health</t>
  </si>
  <si>
    <t>… Private expenditure on health (HF.2)</t>
  </si>
  <si>
    <t>… … Prepaid and risk- pooling plans</t>
  </si>
  <si>
    <t>… … … of which Private social insurance scheme (HF.2.1)</t>
  </si>
  <si>
    <t>… … … of which Private insurance  (HF.2.2)</t>
  </si>
  <si>
    <t>… … Private firms and corporations, excl private insurance (HF.2.5)</t>
  </si>
  <si>
    <t>… … Non-profit institutions serving households (e.g. NGOs) (HF.2.4)</t>
  </si>
  <si>
    <t>… … … of which managed mostly with external funds (HF.3.2)</t>
  </si>
  <si>
    <t>… … Private households' out-of-pocket payment (HF.2.3)</t>
  </si>
  <si>
    <t>… … … of which Co-payment and cost-sharing</t>
  </si>
  <si>
    <t>6 149</t>
  </si>
  <si>
    <t>… … … of which Direct disbursements</t>
  </si>
  <si>
    <t>E</t>
  </si>
  <si>
    <t>Provider and Function measurements for health expenditures (Million NCU)</t>
  </si>
  <si>
    <t>Provider</t>
  </si>
  <si>
    <t>… Hospitals (HP.1)</t>
  </si>
  <si>
    <t>… ...Hospitals financed by General government (HF.1 x HP.1)</t>
  </si>
  <si>
    <t>… Providers of ambulatory health care (HP.3)</t>
  </si>
  <si>
    <t>61 485</t>
  </si>
  <si>
    <t>… ...Ambulatory care providers financed by General government  (HF.1 x HP.3)</t>
  </si>
  <si>
    <t>38 826</t>
  </si>
  <si>
    <t>… Retail sale and other providers of medical goods (HP.4)</t>
  </si>
  <si>
    <t>75 033</t>
  </si>
  <si>
    <t>… … of which Dispensing chemists or pharmacies (HP.4.1)</t>
  </si>
  <si>
    <t>Function</t>
  </si>
  <si>
    <t xml:space="preserve">…  Inpatient curative care (HC.1.1) </t>
  </si>
  <si>
    <t xml:space="preserve">         70 201</t>
  </si>
  <si>
    <t>… … of which General government  financed (HF.1 x HC.1.1)</t>
  </si>
  <si>
    <t>… Outpatient curative care (HC.1.3)</t>
  </si>
  <si>
    <t>… Pharmaceuticals dispensed to outpatient (HC.5.1)</t>
  </si>
  <si>
    <t>… Prevention and public health services (HC.6)</t>
  </si>
  <si>
    <t>… Administration and health insurance (Total) (HC.7)</t>
  </si>
  <si>
    <t>158 or 691</t>
  </si>
  <si>
    <t>… Capital formation  (HC.R.1)</t>
  </si>
  <si>
    <t>159/692</t>
  </si>
  <si>
    <t>… … General government Capital  outlays  (HF.1 X HC.R.1)</t>
  </si>
  <si>
    <t xml:space="preserve">   By ownership of provider</t>
  </si>
  <si>
    <t>Inpatient care in general government owned facilities</t>
  </si>
  <si>
    <t>Inpatient care in privately owned inpatient facilities</t>
  </si>
  <si>
    <t>F</t>
  </si>
  <si>
    <t>Resource Costs measurement for health expenditures (or costs of production) (Million NCU)</t>
  </si>
  <si>
    <t>Current outlays (RC.1)</t>
  </si>
  <si>
    <t xml:space="preserve">… Total expenditure on human resources  on health </t>
  </si>
  <si>
    <t>… … Compensation of health employees (public + private)</t>
  </si>
  <si>
    <t>… … … Wages (RC.1.1.1)</t>
  </si>
  <si>
    <t>… … … Social contributions (RC.1.1.2)</t>
  </si>
  <si>
    <t>… … Self-employed income (operating surplus &amp; mixed income) (RC.1.1.3)</t>
  </si>
  <si>
    <t xml:space="preserve">… … Compensation of health employees : Public sector </t>
  </si>
  <si>
    <t>… … … Wages of government employees</t>
  </si>
  <si>
    <t>… … … Social contributions paid for government employees</t>
  </si>
  <si>
    <t>… Supplies and services (RC.1.2)</t>
  </si>
  <si>
    <t>… … Pharmaceuticals (RC.1.2.1.1)</t>
  </si>
  <si>
    <t>… … … Pharmaceuticals: private expenditure</t>
  </si>
  <si>
    <t>… … Capital consumption (RC.1.3)</t>
  </si>
  <si>
    <t xml:space="preserve">… Capital  expenditure (RC.2) </t>
  </si>
  <si>
    <t>G</t>
  </si>
  <si>
    <t>National Accounts - Production &amp; Expenditure on health (Million NCU)</t>
  </si>
  <si>
    <t>Value added &amp; Investment</t>
  </si>
  <si>
    <t>Value added in health &amp; social work (ISIC 85)</t>
  </si>
  <si>
    <t>… of which Value added in health (ISIC 851)</t>
  </si>
  <si>
    <t>… … of which Compensation of employees (ISIC 851)</t>
  </si>
  <si>
    <t>… … of which Gross operating surplus (ISIC 851)</t>
  </si>
  <si>
    <t>… … of which Indirect taxes minus subsidies (ISIC 851)</t>
  </si>
  <si>
    <t>Gross capital formation (ISIC 851)</t>
  </si>
  <si>
    <t>Expenditure</t>
  </si>
  <si>
    <t>Government final consumption expenditure on health</t>
  </si>
  <si>
    <t>… of which Compensation of employees</t>
  </si>
  <si>
    <t>… of which Subsidies to producers</t>
  </si>
  <si>
    <t>… of which Transfers to households</t>
  </si>
  <si>
    <t>… of which Gross capital formation</t>
  </si>
  <si>
    <t>… of which Capital transfers</t>
  </si>
  <si>
    <t>Private final consumption expenditure  on health</t>
  </si>
  <si>
    <t>… of which Households</t>
  </si>
  <si>
    <t>… of which Non-profit institutions</t>
  </si>
  <si>
    <t>Share of total household consumption going to medical care (%)</t>
  </si>
  <si>
    <t>Macro-economic variables (Million NCU)</t>
  </si>
  <si>
    <t xml:space="preserve">Gross domestic product (GDP) </t>
  </si>
  <si>
    <t>General government expenditure (GGE)</t>
  </si>
  <si>
    <t>… of which central government expenditure</t>
  </si>
  <si>
    <t>General government final consumption</t>
  </si>
  <si>
    <t xml:space="preserve">Private final consumption expenditure </t>
  </si>
  <si>
    <t>... household expenditure</t>
  </si>
  <si>
    <t>... non-profit institutions expenditure</t>
  </si>
  <si>
    <t>Exchange rate (NCU per US$)</t>
  </si>
  <si>
    <t>International dollar rate (NCU per international $)</t>
  </si>
  <si>
    <t>Total population (in thousands)</t>
  </si>
  <si>
    <t>Javnog
zdravlja usluge         Public health</t>
  </si>
  <si>
    <t>Državna
uprava      Goverment administration</t>
  </si>
  <si>
    <t>HFxHC total</t>
  </si>
  <si>
    <t>HC1.</t>
  </si>
  <si>
    <t>HC2.</t>
  </si>
  <si>
    <t>HC3.</t>
  </si>
  <si>
    <t>HC4.</t>
  </si>
  <si>
    <t>HC5.</t>
  </si>
  <si>
    <t>HC6.</t>
  </si>
  <si>
    <t>HC7.</t>
  </si>
  <si>
    <t>Od RFZO                                               RHIF</t>
  </si>
  <si>
    <t>U državne in public</t>
  </si>
  <si>
    <t>U privatne i strane ustanove                                                     in private and forign</t>
  </si>
  <si>
    <t xml:space="preserve">HF.1. Drzavne šeme     Governmental schemes </t>
  </si>
  <si>
    <t xml:space="preserve">HF.2 Privatno osiguranje Private insurance </t>
  </si>
  <si>
    <t>Iz džepa donacije                          OOP donations</t>
  </si>
  <si>
    <t>Iz dzepa u javno zdrav.ustanove placanja OOP payments to P.P.</t>
  </si>
  <si>
    <t>Ukupno iz džepa u javno zdravstvene ustanove     OOP in pub.providers</t>
  </si>
  <si>
    <t>Drž.šeme, priv.osiguranje i iz džepa u državne</t>
  </si>
  <si>
    <t>Iz džepa u privatne zdravstvene ustanove  OOP in priv.prov.</t>
  </si>
  <si>
    <t>HF.3 Domaćinstva iz džepa  Household OOP</t>
  </si>
  <si>
    <t>Total private schemes</t>
  </si>
  <si>
    <t>Ukupno šeme privatnih plaćanja</t>
  </si>
  <si>
    <t>HF2+HF3</t>
  </si>
  <si>
    <t>drzavne seme u drzavne ustanove</t>
  </si>
  <si>
    <t>1.1.</t>
  </si>
  <si>
    <t>UKUPNO</t>
  </si>
  <si>
    <t>Drž.šeme, priv.osiguranje i iz džepa u državne HF.1+HF.2+HF.3 u drzavne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</si>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</sst>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D_i_n_._-;\-* #,##0.00\ _D_i_n_._-;_-* &quot;-&quot;??\ _D_i_n_._-;_-@_-"/>
    <numFmt numFmtId="166" formatCode="0.0"/>
    <numFmt numFmtId="167" formatCode="_(* #,##0_);_(* \(#,##0\);_(* &quot;-&quot;??_);_(@_)"/>
    <numFmt numFmtId="168" formatCode="_-* #,##0\ _D_i_n_._-;\-* #,##0\ _D_i_n_._-;_-* &quot;-&quot;??\ _D_i_n_._-;_-@_-"/>
    <numFmt numFmtId="169" formatCode="###\ ###\ ###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6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Arial Narrow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</font>
    <font>
      <b/>
      <sz val="10"/>
      <name val="Arial Narrow"/>
      <family val="2"/>
    </font>
    <font>
      <sz val="7.5"/>
      <name val="Verdana"/>
      <family val="2"/>
    </font>
    <font>
      <sz val="7.5"/>
      <name val="Arial Narrow"/>
      <family val="2"/>
      <charset val="238"/>
    </font>
    <font>
      <sz val="10"/>
      <color theme="4" tint="-0.499984740745262"/>
      <name val="Calibri"/>
      <family val="2"/>
    </font>
    <font>
      <sz val="9"/>
      <color theme="1"/>
      <name val="Arial"/>
      <family val="2"/>
      <charset val="238"/>
    </font>
    <font>
      <sz val="7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2"/>
      <name val="Calibri"/>
      <family val="2"/>
      <charset val="238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7" fillId="0" borderId="0"/>
    <xf numFmtId="0" fontId="32" fillId="0" borderId="0"/>
    <xf numFmtId="0" fontId="41" fillId="0" borderId="0"/>
    <xf numFmtId="0" fontId="32" fillId="0" borderId="0"/>
    <xf numFmtId="0" fontId="41" fillId="0" borderId="0"/>
    <xf numFmtId="0" fontId="41" fillId="0" borderId="0"/>
    <xf numFmtId="0" fontId="32" fillId="0" borderId="0">
      <alignment vertical="top"/>
    </xf>
    <xf numFmtId="0" fontId="17" fillId="0" borderId="0">
      <alignment vertical="top"/>
    </xf>
  </cellStyleXfs>
  <cellXfs count="334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3" fontId="8" fillId="4" borderId="9" xfId="0" applyNumberFormat="1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3" fontId="9" fillId="4" borderId="14" xfId="0" applyNumberFormat="1" applyFont="1" applyFill="1" applyBorder="1" applyAlignment="1">
      <alignment vertical="center" wrapText="1"/>
    </xf>
    <xf numFmtId="0" fontId="5" fillId="5" borderId="8" xfId="0" applyFont="1" applyFill="1" applyBorder="1" applyAlignment="1">
      <alignment wrapText="1"/>
    </xf>
    <xf numFmtId="0" fontId="5" fillId="5" borderId="9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3" fontId="8" fillId="5" borderId="9" xfId="0" applyNumberFormat="1" applyFont="1" applyFill="1" applyBorder="1" applyAlignment="1">
      <alignment vertical="center" wrapText="1"/>
    </xf>
    <xf numFmtId="0" fontId="8" fillId="5" borderId="9" xfId="0" applyFont="1" applyFill="1" applyBorder="1"/>
    <xf numFmtId="3" fontId="8" fillId="5" borderId="14" xfId="0" applyNumberFormat="1" applyFont="1" applyFill="1" applyBorder="1"/>
    <xf numFmtId="0" fontId="6" fillId="0" borderId="8" xfId="0" applyFont="1" applyBorder="1" applyAlignment="1">
      <alignment vertical="center" wrapText="1"/>
    </xf>
    <xf numFmtId="165" fontId="8" fillId="0" borderId="9" xfId="1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" fontId="8" fillId="0" borderId="9" xfId="0" applyNumberFormat="1" applyFont="1" applyBorder="1" applyAlignment="1">
      <alignment vertical="center" wrapText="1"/>
    </xf>
    <xf numFmtId="0" fontId="8" fillId="0" borderId="9" xfId="0" applyFont="1" applyBorder="1"/>
    <xf numFmtId="3" fontId="8" fillId="0" borderId="14" xfId="0" applyNumberFormat="1" applyFont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3" fontId="8" fillId="5" borderId="9" xfId="0" applyNumberFormat="1" applyFont="1" applyFill="1" applyBorder="1" applyAlignment="1">
      <alignment vertical="center"/>
    </xf>
    <xf numFmtId="0" fontId="8" fillId="5" borderId="9" xfId="0" applyFont="1" applyFill="1" applyBorder="1" applyAlignment="1"/>
    <xf numFmtId="3" fontId="9" fillId="5" borderId="14" xfId="0" applyNumberFormat="1" applyFont="1" applyFill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8" fillId="6" borderId="9" xfId="0" applyNumberFormat="1" applyFont="1" applyFill="1" applyBorder="1" applyAlignment="1">
      <alignment vertical="center"/>
    </xf>
    <xf numFmtId="0" fontId="8" fillId="0" borderId="9" xfId="0" applyFont="1" applyBorder="1" applyAlignment="1"/>
    <xf numFmtId="3" fontId="8" fillId="0" borderId="14" xfId="0" applyNumberFormat="1" applyFont="1" applyBorder="1" applyAlignment="1">
      <alignment vertical="center"/>
    </xf>
    <xf numFmtId="0" fontId="5" fillId="7" borderId="8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vertical="center" wrapText="1"/>
    </xf>
    <xf numFmtId="0" fontId="8" fillId="7" borderId="9" xfId="0" applyFont="1" applyFill="1" applyBorder="1" applyAlignment="1">
      <alignment vertical="center" wrapText="1"/>
    </xf>
    <xf numFmtId="3" fontId="8" fillId="7" borderId="9" xfId="0" applyNumberFormat="1" applyFont="1" applyFill="1" applyBorder="1" applyAlignment="1">
      <alignment vertical="center" wrapText="1"/>
    </xf>
    <xf numFmtId="165" fontId="8" fillId="7" borderId="9" xfId="1" applyFont="1" applyFill="1" applyBorder="1" applyAlignment="1">
      <alignment vertical="center" wrapText="1"/>
    </xf>
    <xf numFmtId="3" fontId="9" fillId="7" borderId="14" xfId="0" applyNumberFormat="1" applyFont="1" applyFill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6" fillId="7" borderId="9" xfId="0" applyFont="1" applyFill="1" applyBorder="1" applyAlignment="1">
      <alignment vertical="center" wrapText="1"/>
    </xf>
    <xf numFmtId="0" fontId="8" fillId="7" borderId="9" xfId="0" applyFont="1" applyFill="1" applyBorder="1"/>
    <xf numFmtId="0" fontId="8" fillId="0" borderId="14" xfId="0" applyFont="1" applyBorder="1"/>
    <xf numFmtId="0" fontId="8" fillId="0" borderId="14" xfId="0" applyFont="1" applyBorder="1" applyAlignment="1">
      <alignment vertical="center" wrapText="1"/>
    </xf>
    <xf numFmtId="0" fontId="5" fillId="7" borderId="25" xfId="0" applyFont="1" applyFill="1" applyBorder="1" applyAlignment="1">
      <alignment vertical="center" wrapText="1"/>
    </xf>
    <xf numFmtId="0" fontId="5" fillId="7" borderId="26" xfId="0" applyFont="1" applyFill="1" applyBorder="1" applyAlignment="1">
      <alignment vertical="center" wrapText="1"/>
    </xf>
    <xf numFmtId="0" fontId="9" fillId="7" borderId="26" xfId="0" applyFont="1" applyFill="1" applyBorder="1" applyAlignment="1">
      <alignment vertical="center" wrapText="1"/>
    </xf>
    <xf numFmtId="0" fontId="9" fillId="7" borderId="26" xfId="0" applyFont="1" applyFill="1" applyBorder="1"/>
    <xf numFmtId="0" fontId="0" fillId="0" borderId="1" xfId="0" applyBorder="1"/>
    <xf numFmtId="0" fontId="0" fillId="0" borderId="2" xfId="0" applyBorder="1"/>
    <xf numFmtId="0" fontId="0" fillId="6" borderId="2" xfId="0" applyFill="1" applyBorder="1"/>
    <xf numFmtId="0" fontId="0" fillId="0" borderId="7" xfId="0" applyBorder="1"/>
    <xf numFmtId="0" fontId="0" fillId="0" borderId="9" xfId="0" applyBorder="1"/>
    <xf numFmtId="0" fontId="0" fillId="6" borderId="9" xfId="0" applyFill="1" applyBorder="1"/>
    <xf numFmtId="0" fontId="0" fillId="0" borderId="14" xfId="0" applyBorder="1"/>
    <xf numFmtId="0" fontId="13" fillId="0" borderId="9" xfId="0" applyFont="1" applyBorder="1"/>
    <xf numFmtId="0" fontId="14" fillId="8" borderId="26" xfId="0" applyFont="1" applyFill="1" applyBorder="1"/>
    <xf numFmtId="0" fontId="21" fillId="0" borderId="0" xfId="0" applyFont="1"/>
    <xf numFmtId="3" fontId="22" fillId="0" borderId="9" xfId="0" applyNumberFormat="1" applyFont="1" applyBorder="1" applyAlignment="1">
      <alignment horizontal="right"/>
    </xf>
    <xf numFmtId="0" fontId="21" fillId="9" borderId="0" xfId="0" applyFont="1" applyFill="1"/>
    <xf numFmtId="0" fontId="24" fillId="0" borderId="2" xfId="0" applyFont="1" applyBorder="1"/>
    <xf numFmtId="0" fontId="24" fillId="0" borderId="7" xfId="0" applyFont="1" applyBorder="1"/>
    <xf numFmtId="0" fontId="27" fillId="10" borderId="9" xfId="4" applyNumberFormat="1" applyFont="1" applyFill="1" applyBorder="1" applyAlignment="1">
      <alignment horizontal="left"/>
    </xf>
    <xf numFmtId="168" fontId="25" fillId="0" borderId="9" xfId="1" applyNumberFormat="1" applyFont="1" applyBorder="1"/>
    <xf numFmtId="168" fontId="25" fillId="0" borderId="14" xfId="1" applyNumberFormat="1" applyFont="1" applyBorder="1"/>
    <xf numFmtId="0" fontId="27" fillId="10" borderId="9" xfId="4" applyNumberFormat="1" applyFont="1" applyFill="1" applyBorder="1" applyAlignment="1" applyProtection="1">
      <alignment horizontal="left" vertical="center"/>
    </xf>
    <xf numFmtId="0" fontId="7" fillId="0" borderId="9" xfId="0" applyFont="1" applyBorder="1"/>
    <xf numFmtId="0" fontId="27" fillId="10" borderId="9" xfId="3" applyNumberFormat="1" applyFont="1" applyFill="1" applyBorder="1" applyAlignment="1">
      <alignment horizontal="left"/>
    </xf>
    <xf numFmtId="165" fontId="25" fillId="0" borderId="9" xfId="1" applyNumberFormat="1" applyFont="1" applyBorder="1"/>
    <xf numFmtId="0" fontId="27" fillId="6" borderId="9" xfId="4" applyNumberFormat="1" applyFont="1" applyFill="1" applyBorder="1" applyAlignment="1" applyProtection="1">
      <alignment horizontal="left" vertical="center"/>
    </xf>
    <xf numFmtId="168" fontId="25" fillId="0" borderId="14" xfId="0" applyNumberFormat="1" applyFont="1" applyBorder="1"/>
    <xf numFmtId="0" fontId="25" fillId="0" borderId="9" xfId="0" applyFont="1" applyBorder="1"/>
    <xf numFmtId="168" fontId="25" fillId="0" borderId="9" xfId="0" applyNumberFormat="1" applyFont="1" applyBorder="1"/>
    <xf numFmtId="0" fontId="14" fillId="8" borderId="25" xfId="0" applyFont="1" applyFill="1" applyBorder="1"/>
    <xf numFmtId="0" fontId="0" fillId="6" borderId="0" xfId="0" applyFill="1" applyBorder="1"/>
    <xf numFmtId="168" fontId="22" fillId="0" borderId="9" xfId="1" applyNumberFormat="1" applyFont="1" applyBorder="1"/>
    <xf numFmtId="168" fontId="22" fillId="0" borderId="14" xfId="1" applyNumberFormat="1" applyFont="1" applyBorder="1"/>
    <xf numFmtId="0" fontId="13" fillId="6" borderId="0" xfId="0" applyFont="1" applyFill="1" applyBorder="1"/>
    <xf numFmtId="0" fontId="21" fillId="6" borderId="0" xfId="0" applyFont="1" applyFill="1" applyBorder="1"/>
    <xf numFmtId="0" fontId="0" fillId="9" borderId="0" xfId="0" applyFill="1"/>
    <xf numFmtId="0" fontId="30" fillId="8" borderId="26" xfId="0" applyFont="1" applyFill="1" applyBorder="1"/>
    <xf numFmtId="0" fontId="12" fillId="0" borderId="1" xfId="0" applyFont="1" applyBorder="1"/>
    <xf numFmtId="0" fontId="12" fillId="0" borderId="2" xfId="0" applyFont="1" applyBorder="1"/>
    <xf numFmtId="0" fontId="12" fillId="0" borderId="7" xfId="0" applyFont="1" applyBorder="1"/>
    <xf numFmtId="0" fontId="12" fillId="0" borderId="9" xfId="0" applyFont="1" applyBorder="1"/>
    <xf numFmtId="0" fontId="12" fillId="4" borderId="9" xfId="0" applyFont="1" applyFill="1" applyBorder="1"/>
    <xf numFmtId="168" fontId="22" fillId="4" borderId="9" xfId="1" applyNumberFormat="1" applyFont="1" applyFill="1" applyBorder="1"/>
    <xf numFmtId="168" fontId="22" fillId="4" borderId="14" xfId="1" applyNumberFormat="1" applyFont="1" applyFill="1" applyBorder="1"/>
    <xf numFmtId="0" fontId="35" fillId="0" borderId="9" xfId="6" applyFont="1" applyBorder="1" applyAlignment="1">
      <alignment vertical="center"/>
    </xf>
    <xf numFmtId="0" fontId="36" fillId="0" borderId="9" xfId="6" applyFont="1" applyBorder="1" applyAlignment="1">
      <alignment vertical="center"/>
    </xf>
    <xf numFmtId="0" fontId="37" fillId="0" borderId="9" xfId="6" applyFont="1" applyBorder="1"/>
    <xf numFmtId="0" fontId="38" fillId="0" borderId="9" xfId="6" applyFont="1" applyBorder="1"/>
    <xf numFmtId="0" fontId="39" fillId="11" borderId="9" xfId="6" applyFont="1" applyFill="1" applyBorder="1" applyAlignment="1">
      <alignment horizontal="center" vertical="center" wrapText="1"/>
    </xf>
    <xf numFmtId="0" fontId="39" fillId="11" borderId="9" xfId="6" applyFont="1" applyFill="1" applyBorder="1" applyAlignment="1">
      <alignment horizontal="left" vertical="center" wrapText="1"/>
    </xf>
    <xf numFmtId="1" fontId="39" fillId="11" borderId="9" xfId="6" applyNumberFormat="1" applyFont="1" applyFill="1" applyBorder="1" applyAlignment="1">
      <alignment horizontal="right" vertical="center" wrapText="1"/>
    </xf>
    <xf numFmtId="1" fontId="40" fillId="11" borderId="9" xfId="6" applyNumberFormat="1" applyFont="1" applyFill="1" applyBorder="1" applyAlignment="1">
      <alignment horizontal="right" vertical="center" wrapText="1"/>
    </xf>
    <xf numFmtId="0" fontId="38" fillId="0" borderId="9" xfId="6" applyFont="1" applyFill="1" applyBorder="1" applyAlignment="1">
      <alignment horizontal="center" vertical="top"/>
    </xf>
    <xf numFmtId="0" fontId="38" fillId="12" borderId="9" xfId="7" applyFont="1" applyFill="1" applyBorder="1" applyAlignment="1">
      <alignment horizontal="left" vertical="top" shrinkToFit="1"/>
    </xf>
    <xf numFmtId="2" fontId="38" fillId="10" borderId="9" xfId="6" applyNumberFormat="1" applyFont="1" applyFill="1" applyBorder="1" applyAlignment="1">
      <alignment horizontal="right" vertical="top"/>
    </xf>
    <xf numFmtId="0" fontId="39" fillId="0" borderId="9" xfId="7" applyFont="1" applyFill="1" applyBorder="1" applyAlignment="1">
      <alignment horizontal="left" vertical="top" shrinkToFit="1"/>
    </xf>
    <xf numFmtId="166" fontId="38" fillId="10" borderId="9" xfId="6" applyNumberFormat="1" applyFont="1" applyFill="1" applyBorder="1" applyAlignment="1">
      <alignment horizontal="right" vertical="top"/>
    </xf>
    <xf numFmtId="0" fontId="42" fillId="0" borderId="9" xfId="0" applyFont="1" applyFill="1" applyBorder="1" applyAlignment="1">
      <alignment horizontal="center"/>
    </xf>
    <xf numFmtId="0" fontId="38" fillId="12" borderId="9" xfId="8" applyFont="1" applyFill="1" applyBorder="1" applyAlignment="1">
      <alignment horizontal="left" vertical="top" shrinkToFit="1"/>
    </xf>
    <xf numFmtId="0" fontId="38" fillId="0" borderId="9" xfId="6" applyFont="1" applyFill="1" applyBorder="1" applyAlignment="1">
      <alignment horizontal="left" vertical="top" shrinkToFit="1"/>
    </xf>
    <xf numFmtId="0" fontId="17" fillId="0" borderId="9" xfId="0" applyFont="1" applyFill="1" applyBorder="1" applyAlignment="1">
      <alignment horizontal="center"/>
    </xf>
    <xf numFmtId="0" fontId="39" fillId="0" borderId="9" xfId="6" applyFont="1" applyFill="1" applyBorder="1" applyAlignment="1">
      <alignment horizontal="left" vertical="top" shrinkToFit="1"/>
    </xf>
    <xf numFmtId="0" fontId="38" fillId="0" borderId="9" xfId="6" applyFont="1" applyFill="1" applyBorder="1"/>
    <xf numFmtId="0" fontId="39" fillId="11" borderId="9" xfId="6" applyFont="1" applyFill="1" applyBorder="1" applyAlignment="1">
      <alignment horizontal="right" vertical="center" wrapText="1"/>
    </xf>
    <xf numFmtId="0" fontId="40" fillId="11" borderId="9" xfId="6" applyFont="1" applyFill="1" applyBorder="1" applyAlignment="1">
      <alignment horizontal="right" vertical="center" wrapText="1"/>
    </xf>
    <xf numFmtId="0" fontId="40" fillId="11" borderId="9" xfId="6" applyFont="1" applyFill="1" applyBorder="1" applyAlignment="1">
      <alignment horizontal="center" vertical="center" wrapText="1"/>
    </xf>
    <xf numFmtId="169" fontId="38" fillId="0" borderId="9" xfId="6" applyNumberFormat="1" applyFont="1" applyFill="1" applyBorder="1" applyAlignment="1">
      <alignment horizontal="right" vertical="top" shrinkToFit="1"/>
    </xf>
    <xf numFmtId="0" fontId="43" fillId="0" borderId="9" xfId="6" applyFont="1" applyFill="1" applyBorder="1" applyAlignment="1">
      <alignment horizontal="center" vertical="top"/>
    </xf>
    <xf numFmtId="0" fontId="38" fillId="10" borderId="9" xfId="7" applyFont="1" applyFill="1" applyBorder="1" applyAlignment="1">
      <alignment horizontal="left" vertical="top"/>
    </xf>
    <xf numFmtId="0" fontId="39" fillId="0" borderId="9" xfId="6" applyFont="1" applyFill="1" applyBorder="1" applyAlignment="1">
      <alignment horizontal="right" vertical="top"/>
    </xf>
    <xf numFmtId="0" fontId="39" fillId="10" borderId="9" xfId="6" applyFont="1" applyFill="1" applyBorder="1" applyAlignment="1">
      <alignment horizontal="right" vertical="top"/>
    </xf>
    <xf numFmtId="0" fontId="40" fillId="10" borderId="9" xfId="6" applyFont="1" applyFill="1" applyBorder="1" applyAlignment="1">
      <alignment horizontal="right" vertical="top"/>
    </xf>
    <xf numFmtId="0" fontId="37" fillId="0" borderId="9" xfId="6" applyFont="1" applyFill="1" applyBorder="1" applyAlignment="1">
      <alignment vertical="top"/>
    </xf>
    <xf numFmtId="0" fontId="38" fillId="0" borderId="9" xfId="6" applyFont="1" applyFill="1" applyBorder="1" applyAlignment="1">
      <alignment vertical="top"/>
    </xf>
    <xf numFmtId="169" fontId="38" fillId="0" borderId="9" xfId="6" applyNumberFormat="1" applyFont="1" applyBorder="1"/>
    <xf numFmtId="0" fontId="38" fillId="12" borderId="9" xfId="6" applyFont="1" applyFill="1" applyBorder="1" applyAlignment="1">
      <alignment horizontal="left" vertical="top" shrinkToFit="1"/>
    </xf>
    <xf numFmtId="0" fontId="38" fillId="10" borderId="9" xfId="6" applyFont="1" applyFill="1" applyBorder="1" applyAlignment="1">
      <alignment horizontal="left" vertical="top" shrinkToFit="1"/>
    </xf>
    <xf numFmtId="169" fontId="37" fillId="0" borderId="9" xfId="6" applyNumberFormat="1" applyFont="1" applyFill="1" applyBorder="1" applyAlignment="1">
      <alignment horizontal="right" vertical="top" shrinkToFit="1"/>
    </xf>
    <xf numFmtId="0" fontId="38" fillId="0" borderId="9" xfId="6" applyFont="1" applyBorder="1" applyAlignment="1">
      <alignment horizontal="center" vertical="top"/>
    </xf>
    <xf numFmtId="0" fontId="38" fillId="0" borderId="9" xfId="6" applyFont="1" applyBorder="1" applyAlignment="1">
      <alignment vertical="top"/>
    </xf>
    <xf numFmtId="0" fontId="38" fillId="10" borderId="9" xfId="6" applyFont="1" applyFill="1" applyBorder="1" applyAlignment="1">
      <alignment horizontal="right" vertical="top"/>
    </xf>
    <xf numFmtId="0" fontId="38" fillId="0" borderId="9" xfId="6" applyFont="1" applyBorder="1" applyAlignment="1">
      <alignment horizontal="right" vertical="top"/>
    </xf>
    <xf numFmtId="0" fontId="37" fillId="0" borderId="9" xfId="6" applyFont="1" applyBorder="1" applyAlignment="1">
      <alignment horizontal="right" vertical="top"/>
    </xf>
    <xf numFmtId="0" fontId="37" fillId="0" borderId="9" xfId="6" applyFont="1" applyBorder="1" applyAlignment="1">
      <alignment vertical="top" wrapText="1"/>
    </xf>
    <xf numFmtId="0" fontId="38" fillId="0" borderId="9" xfId="6" applyFont="1" applyBorder="1" applyAlignment="1">
      <alignment vertical="top" wrapText="1"/>
    </xf>
    <xf numFmtId="0" fontId="39" fillId="0" borderId="9" xfId="6" applyFont="1" applyFill="1" applyBorder="1" applyAlignment="1">
      <alignment vertical="top" shrinkToFit="1"/>
    </xf>
    <xf numFmtId="0" fontId="38" fillId="10" borderId="9" xfId="7" applyFont="1" applyFill="1" applyBorder="1" applyAlignment="1">
      <alignment horizontal="left" vertical="top" shrinkToFit="1"/>
    </xf>
    <xf numFmtId="0" fontId="39" fillId="6" borderId="9" xfId="6" applyFont="1" applyFill="1" applyBorder="1" applyAlignment="1">
      <alignment horizontal="left" vertical="center" wrapText="1"/>
    </xf>
    <xf numFmtId="0" fontId="38" fillId="0" borderId="9" xfId="7" applyFont="1" applyFill="1" applyBorder="1" applyAlignment="1">
      <alignment horizontal="left" vertical="top" shrinkToFit="1"/>
    </xf>
    <xf numFmtId="0" fontId="38" fillId="0" borderId="9" xfId="6" applyFont="1" applyFill="1" applyBorder="1" applyAlignment="1">
      <alignment vertical="top" shrinkToFit="1"/>
    </xf>
    <xf numFmtId="0" fontId="38" fillId="10" borderId="9" xfId="6" applyFont="1" applyFill="1" applyBorder="1" applyAlignment="1">
      <alignment vertical="top" shrinkToFit="1"/>
    </xf>
    <xf numFmtId="169" fontId="38" fillId="0" borderId="9" xfId="6" applyNumberFormat="1" applyFont="1" applyFill="1" applyBorder="1"/>
    <xf numFmtId="0" fontId="38" fillId="6" borderId="9" xfId="6" applyFont="1" applyFill="1" applyBorder="1" applyAlignment="1">
      <alignment horizontal="center" vertical="top" shrinkToFit="1"/>
    </xf>
    <xf numFmtId="0" fontId="38" fillId="6" borderId="9" xfId="7" applyFont="1" applyFill="1" applyBorder="1" applyAlignment="1">
      <alignment horizontal="left" vertical="top" shrinkToFit="1"/>
    </xf>
    <xf numFmtId="169" fontId="38" fillId="6" borderId="9" xfId="6" applyNumberFormat="1" applyFont="1" applyFill="1" applyBorder="1" applyAlignment="1">
      <alignment horizontal="right" vertical="top" shrinkToFit="1"/>
    </xf>
    <xf numFmtId="0" fontId="38" fillId="6" borderId="9" xfId="6" applyFont="1" applyFill="1" applyBorder="1"/>
    <xf numFmtId="0" fontId="38" fillId="0" borderId="9" xfId="6" applyFont="1" applyFill="1" applyBorder="1" applyAlignment="1">
      <alignment horizontal="center" vertical="top" shrinkToFit="1"/>
    </xf>
    <xf numFmtId="0" fontId="38" fillId="0" borderId="9" xfId="9" applyFont="1" applyFill="1" applyBorder="1" applyAlignment="1">
      <alignment vertical="top" shrinkToFit="1"/>
    </xf>
    <xf numFmtId="0" fontId="38" fillId="0" borderId="9" xfId="10" applyFont="1" applyFill="1" applyBorder="1" applyAlignment="1">
      <alignment horizontal="left" vertical="top" shrinkToFit="1"/>
    </xf>
    <xf numFmtId="1" fontId="38" fillId="0" borderId="9" xfId="2" applyNumberFormat="1" applyFont="1" applyFill="1" applyBorder="1" applyAlignment="1">
      <alignment horizontal="left" vertical="top" shrinkToFit="1"/>
    </xf>
    <xf numFmtId="0" fontId="38" fillId="12" borderId="9" xfId="6" applyFont="1" applyFill="1" applyBorder="1" applyAlignment="1">
      <alignment vertical="top" shrinkToFit="1"/>
    </xf>
    <xf numFmtId="169" fontId="38" fillId="13" borderId="9" xfId="6" applyNumberFormat="1" applyFont="1" applyFill="1" applyBorder="1" applyAlignment="1">
      <alignment horizontal="right" vertical="top" shrinkToFit="1"/>
    </xf>
    <xf numFmtId="166" fontId="38" fillId="0" borderId="9" xfId="6" applyNumberFormat="1" applyFont="1" applyFill="1" applyBorder="1" applyAlignment="1">
      <alignment horizontal="right" vertical="top" shrinkToFit="1"/>
    </xf>
    <xf numFmtId="0" fontId="44" fillId="0" borderId="9" xfId="0" applyFont="1" applyBorder="1"/>
    <xf numFmtId="0" fontId="44" fillId="0" borderId="9" xfId="0" applyFont="1" applyBorder="1" applyAlignment="1">
      <alignment horizontal="right"/>
    </xf>
    <xf numFmtId="0" fontId="45" fillId="0" borderId="9" xfId="0" applyFont="1" applyBorder="1"/>
    <xf numFmtId="0" fontId="0" fillId="0" borderId="9" xfId="0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38" fillId="0" borderId="9" xfId="6" applyFont="1" applyBorder="1" applyAlignment="1">
      <alignment horizontal="center"/>
    </xf>
    <xf numFmtId="0" fontId="38" fillId="10" borderId="9" xfId="6" applyFont="1" applyFill="1" applyBorder="1"/>
    <xf numFmtId="3" fontId="46" fillId="0" borderId="32" xfId="11" applyNumberFormat="1" applyFont="1" applyFill="1" applyBorder="1" applyAlignment="1">
      <alignment horizontal="right"/>
    </xf>
    <xf numFmtId="3" fontId="46" fillId="0" borderId="32" xfId="12" applyNumberFormat="1" applyFont="1" applyFill="1" applyBorder="1" applyAlignment="1">
      <alignment horizontal="right"/>
    </xf>
    <xf numFmtId="0" fontId="47" fillId="0" borderId="0" xfId="0" applyFont="1"/>
    <xf numFmtId="0" fontId="48" fillId="0" borderId="33" xfId="11" applyFont="1" applyFill="1" applyBorder="1" applyAlignment="1">
      <alignment vertical="center" wrapText="1"/>
    </xf>
    <xf numFmtId="0" fontId="41" fillId="0" borderId="9" xfId="0" applyFont="1" applyBorder="1" applyAlignment="1">
      <alignment horizontal="right" vertical="center"/>
    </xf>
    <xf numFmtId="0" fontId="41" fillId="0" borderId="9" xfId="0" applyFont="1" applyBorder="1" applyAlignment="1">
      <alignment horizontal="right" vertical="center" wrapText="1"/>
    </xf>
    <xf numFmtId="0" fontId="37" fillId="0" borderId="9" xfId="0" applyFont="1" applyBorder="1" applyAlignment="1">
      <alignment horizontal="right" vertical="center" wrapText="1"/>
    </xf>
    <xf numFmtId="165" fontId="38" fillId="0" borderId="9" xfId="1" applyFont="1" applyBorder="1"/>
    <xf numFmtId="43" fontId="38" fillId="0" borderId="9" xfId="6" applyNumberFormat="1" applyFont="1" applyBorder="1"/>
    <xf numFmtId="0" fontId="25" fillId="6" borderId="8" xfId="0" applyFont="1" applyFill="1" applyBorder="1" applyAlignment="1">
      <alignment vertical="top" wrapText="1"/>
    </xf>
    <xf numFmtId="0" fontId="25" fillId="6" borderId="9" xfId="0" applyFont="1" applyFill="1" applyBorder="1" applyAlignment="1">
      <alignment vertical="top"/>
    </xf>
    <xf numFmtId="0" fontId="27" fillId="6" borderId="9" xfId="0" applyFont="1" applyFill="1" applyBorder="1" applyAlignment="1">
      <alignment shrinkToFit="1"/>
    </xf>
    <xf numFmtId="0" fontId="25" fillId="6" borderId="9" xfId="0" applyFont="1" applyFill="1" applyBorder="1" applyAlignment="1">
      <alignment vertical="top" wrapText="1"/>
    </xf>
    <xf numFmtId="0" fontId="25" fillId="6" borderId="8" xfId="0" applyFont="1" applyFill="1" applyBorder="1" applyAlignment="1">
      <alignment vertical="top"/>
    </xf>
    <xf numFmtId="0" fontId="21" fillId="6" borderId="9" xfId="0" applyFont="1" applyFill="1" applyBorder="1"/>
    <xf numFmtId="168" fontId="27" fillId="6" borderId="9" xfId="1" applyNumberFormat="1" applyFont="1" applyFill="1" applyBorder="1" applyAlignment="1">
      <alignment shrinkToFit="1"/>
    </xf>
    <xf numFmtId="168" fontId="27" fillId="6" borderId="14" xfId="1" applyNumberFormat="1" applyFont="1" applyFill="1" applyBorder="1" applyAlignment="1">
      <alignment shrinkToFit="1"/>
    </xf>
    <xf numFmtId="164" fontId="27" fillId="6" borderId="14" xfId="1" applyNumberFormat="1" applyFont="1" applyFill="1" applyBorder="1" applyAlignment="1">
      <alignment shrinkToFit="1"/>
    </xf>
    <xf numFmtId="0" fontId="23" fillId="6" borderId="8" xfId="0" applyFont="1" applyFill="1" applyBorder="1" applyAlignment="1">
      <alignment vertical="top"/>
    </xf>
    <xf numFmtId="3" fontId="22" fillId="0" borderId="10" xfId="0" applyNumberFormat="1" applyFont="1" applyBorder="1" applyAlignment="1">
      <alignment horizontal="right"/>
    </xf>
    <xf numFmtId="3" fontId="22" fillId="0" borderId="8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0" fontId="21" fillId="6" borderId="16" xfId="0" applyFont="1" applyFill="1" applyBorder="1"/>
    <xf numFmtId="0" fontId="21" fillId="6" borderId="10" xfId="0" applyFont="1" applyFill="1" applyBorder="1"/>
    <xf numFmtId="0" fontId="7" fillId="0" borderId="0" xfId="0" applyFont="1"/>
    <xf numFmtId="3" fontId="7" fillId="0" borderId="0" xfId="0" applyNumberFormat="1" applyFont="1"/>
    <xf numFmtId="3" fontId="8" fillId="0" borderId="9" xfId="0" applyNumberFormat="1" applyFont="1" applyFill="1" applyBorder="1" applyAlignment="1">
      <alignment vertical="center" wrapText="1"/>
    </xf>
    <xf numFmtId="3" fontId="9" fillId="7" borderId="30" xfId="0" applyNumberFormat="1" applyFont="1" applyFill="1" applyBorder="1" applyAlignment="1">
      <alignment vertical="center" wrapText="1"/>
    </xf>
    <xf numFmtId="3" fontId="52" fillId="13" borderId="9" xfId="0" applyNumberFormat="1" applyFont="1" applyFill="1" applyBorder="1" applyAlignment="1">
      <alignment vertical="center" wrapText="1"/>
    </xf>
    <xf numFmtId="3" fontId="22" fillId="0" borderId="11" xfId="0" applyNumberFormat="1" applyFont="1" applyBorder="1" applyAlignment="1">
      <alignment horizontal="right"/>
    </xf>
    <xf numFmtId="0" fontId="21" fillId="0" borderId="0" xfId="0" applyFont="1" applyBorder="1"/>
    <xf numFmtId="3" fontId="22" fillId="0" borderId="0" xfId="0" applyNumberFormat="1" applyFont="1" applyBorder="1" applyAlignment="1">
      <alignment horizontal="right"/>
    </xf>
    <xf numFmtId="3" fontId="20" fillId="13" borderId="36" xfId="0" applyNumberFormat="1" applyFont="1" applyFill="1" applyBorder="1" applyAlignment="1">
      <alignment horizontal="right"/>
    </xf>
    <xf numFmtId="3" fontId="20" fillId="13" borderId="25" xfId="0" applyNumberFormat="1" applyFont="1" applyFill="1" applyBorder="1" applyAlignment="1">
      <alignment horizontal="right"/>
    </xf>
    <xf numFmtId="3" fontId="20" fillId="13" borderId="26" xfId="0" applyNumberFormat="1" applyFont="1" applyFill="1" applyBorder="1" applyAlignment="1">
      <alignment horizontal="right"/>
    </xf>
    <xf numFmtId="3" fontId="20" fillId="13" borderId="30" xfId="0" applyNumberFormat="1" applyFont="1" applyFill="1" applyBorder="1" applyAlignment="1">
      <alignment horizontal="right"/>
    </xf>
    <xf numFmtId="3" fontId="20" fillId="13" borderId="0" xfId="0" applyNumberFormat="1" applyFont="1" applyFill="1" applyBorder="1" applyAlignment="1">
      <alignment horizontal="right"/>
    </xf>
    <xf numFmtId="0" fontId="16" fillId="13" borderId="0" xfId="0" applyFont="1" applyFill="1" applyBorder="1"/>
    <xf numFmtId="0" fontId="16" fillId="13" borderId="0" xfId="0" applyFont="1" applyFill="1"/>
    <xf numFmtId="0" fontId="25" fillId="13" borderId="9" xfId="0" applyFont="1" applyFill="1" applyBorder="1" applyAlignment="1">
      <alignment vertical="top"/>
    </xf>
    <xf numFmtId="0" fontId="9" fillId="13" borderId="9" xfId="0" applyFont="1" applyFill="1" applyBorder="1" applyAlignment="1">
      <alignment vertical="center" wrapText="1"/>
    </xf>
    <xf numFmtId="168" fontId="27" fillId="13" borderId="14" xfId="1" applyNumberFormat="1" applyFont="1" applyFill="1" applyBorder="1" applyAlignment="1">
      <alignment shrinkToFit="1"/>
    </xf>
    <xf numFmtId="0" fontId="9" fillId="13" borderId="9" xfId="0" applyFont="1" applyFill="1" applyBorder="1" applyAlignment="1">
      <alignment wrapText="1"/>
    </xf>
    <xf numFmtId="0" fontId="15" fillId="13" borderId="9" xfId="0" applyFont="1" applyFill="1" applyBorder="1" applyAlignment="1">
      <alignment wrapText="1"/>
    </xf>
    <xf numFmtId="164" fontId="27" fillId="13" borderId="14" xfId="1" applyNumberFormat="1" applyFont="1" applyFill="1" applyBorder="1" applyAlignment="1">
      <alignment shrinkToFit="1"/>
    </xf>
    <xf numFmtId="0" fontId="23" fillId="13" borderId="9" xfId="0" applyFont="1" applyFill="1" applyBorder="1" applyAlignment="1">
      <alignment vertical="top" wrapText="1"/>
    </xf>
    <xf numFmtId="0" fontId="21" fillId="6" borderId="0" xfId="0" applyFont="1" applyFill="1"/>
    <xf numFmtId="168" fontId="7" fillId="0" borderId="0" xfId="0" applyNumberFormat="1" applyFont="1" applyBorder="1"/>
    <xf numFmtId="168" fontId="15" fillId="8" borderId="26" xfId="1" applyNumberFormat="1" applyFont="1" applyFill="1" applyBorder="1"/>
    <xf numFmtId="168" fontId="15" fillId="8" borderId="30" xfId="1" applyNumberFormat="1" applyFont="1" applyFill="1" applyBorder="1"/>
    <xf numFmtId="3" fontId="22" fillId="6" borderId="8" xfId="0" applyNumberFormat="1" applyFont="1" applyFill="1" applyBorder="1" applyAlignment="1">
      <alignment horizontal="right"/>
    </xf>
    <xf numFmtId="3" fontId="22" fillId="6" borderId="9" xfId="0" applyNumberFormat="1" applyFont="1" applyFill="1" applyBorder="1" applyAlignment="1">
      <alignment horizontal="right"/>
    </xf>
    <xf numFmtId="3" fontId="22" fillId="6" borderId="14" xfId="0" applyNumberFormat="1" applyFont="1" applyFill="1" applyBorder="1" applyAlignment="1">
      <alignment horizontal="right"/>
    </xf>
    <xf numFmtId="3" fontId="22" fillId="6" borderId="0" xfId="0" applyNumberFormat="1" applyFont="1" applyFill="1" applyBorder="1" applyAlignment="1">
      <alignment horizontal="right"/>
    </xf>
    <xf numFmtId="3" fontId="38" fillId="0" borderId="9" xfId="6" applyNumberFormat="1" applyFont="1" applyBorder="1"/>
    <xf numFmtId="0" fontId="8" fillId="0" borderId="18" xfId="0" applyFont="1" applyBorder="1" applyAlignment="1"/>
    <xf numFmtId="0" fontId="8" fillId="0" borderId="22" xfId="0" applyFont="1" applyBorder="1" applyAlignment="1"/>
    <xf numFmtId="0" fontId="8" fillId="0" borderId="10" xfId="0" applyFont="1" applyBorder="1" applyAlignment="1"/>
    <xf numFmtId="0" fontId="9" fillId="7" borderId="27" xfId="0" applyFont="1" applyFill="1" applyBorder="1" applyAlignment="1">
      <alignment vertical="center" wrapText="1"/>
    </xf>
    <xf numFmtId="0" fontId="9" fillId="7" borderId="28" xfId="0" applyFont="1" applyFill="1" applyBorder="1" applyAlignment="1">
      <alignment vertical="center" wrapText="1"/>
    </xf>
    <xf numFmtId="0" fontId="9" fillId="7" borderId="29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7" borderId="15" xfId="0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8" fillId="7" borderId="17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3" fontId="8" fillId="0" borderId="15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3" fontId="8" fillId="0" borderId="17" xfId="0" applyNumberFormat="1" applyFont="1" applyBorder="1" applyAlignment="1">
      <alignment vertical="center"/>
    </xf>
    <xf numFmtId="3" fontId="8" fillId="5" borderId="15" xfId="0" applyNumberFormat="1" applyFont="1" applyFill="1" applyBorder="1" applyAlignment="1">
      <alignment vertical="center"/>
    </xf>
    <xf numFmtId="3" fontId="8" fillId="5" borderId="16" xfId="0" applyNumberFormat="1" applyFont="1" applyFill="1" applyBorder="1" applyAlignment="1">
      <alignment vertical="center"/>
    </xf>
    <xf numFmtId="3" fontId="8" fillId="5" borderId="17" xfId="0" applyNumberFormat="1" applyFont="1" applyFill="1" applyBorder="1" applyAlignment="1">
      <alignment vertical="center"/>
    </xf>
    <xf numFmtId="3" fontId="8" fillId="4" borderId="15" xfId="0" applyNumberFormat="1" applyFont="1" applyFill="1" applyBorder="1" applyAlignment="1">
      <alignment vertical="center" wrapText="1"/>
    </xf>
    <xf numFmtId="3" fontId="8" fillId="4" borderId="16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8" fillId="5" borderId="15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33" fillId="0" borderId="9" xfId="6" applyFont="1" applyFill="1" applyBorder="1" applyAlignment="1">
      <alignment horizontal="center" vertical="center" wrapText="1"/>
    </xf>
    <xf numFmtId="0" fontId="34" fillId="0" borderId="9" xfId="6" applyFont="1" applyBorder="1" applyAlignment="1">
      <alignment horizontal="left" vertical="center"/>
    </xf>
    <xf numFmtId="0" fontId="35" fillId="0" borderId="9" xfId="6" applyFont="1" applyBorder="1" applyAlignment="1">
      <alignment vertical="center"/>
    </xf>
    <xf numFmtId="0" fontId="35" fillId="0" borderId="9" xfId="6" applyFont="1" applyBorder="1" applyAlignment="1">
      <alignment horizontal="left" vertical="center"/>
    </xf>
    <xf numFmtId="168" fontId="20" fillId="14" borderId="26" xfId="1" applyNumberFormat="1" applyFont="1" applyFill="1" applyBorder="1"/>
    <xf numFmtId="168" fontId="20" fillId="14" borderId="30" xfId="1" applyNumberFormat="1" applyFont="1" applyFill="1" applyBorder="1"/>
    <xf numFmtId="168" fontId="24" fillId="14" borderId="1" xfId="1" applyNumberFormat="1" applyFont="1" applyFill="1" applyBorder="1" applyAlignment="1">
      <alignment wrapText="1"/>
    </xf>
    <xf numFmtId="0" fontId="0" fillId="14" borderId="31" xfId="0" applyFill="1" applyBorder="1"/>
    <xf numFmtId="0" fontId="13" fillId="14" borderId="8" xfId="0" applyFont="1" applyFill="1" applyBorder="1"/>
    <xf numFmtId="0" fontId="21" fillId="14" borderId="1" xfId="0" applyFont="1" applyFill="1" applyBorder="1"/>
    <xf numFmtId="0" fontId="28" fillId="14" borderId="6" xfId="0" applyFont="1" applyFill="1" applyBorder="1" applyAlignment="1">
      <alignment horizontal="center"/>
    </xf>
    <xf numFmtId="168" fontId="24" fillId="14" borderId="2" xfId="1" applyNumberFormat="1" applyFont="1" applyFill="1" applyBorder="1" applyAlignment="1">
      <alignment wrapText="1"/>
    </xf>
    <xf numFmtId="168" fontId="24" fillId="14" borderId="7" xfId="1" applyNumberFormat="1" applyFont="1" applyFill="1" applyBorder="1" applyAlignment="1">
      <alignment wrapText="1"/>
    </xf>
    <xf numFmtId="0" fontId="21" fillId="15" borderId="8" xfId="0" applyFont="1" applyFill="1" applyBorder="1"/>
    <xf numFmtId="0" fontId="20" fillId="15" borderId="2" xfId="0" applyFont="1" applyFill="1" applyBorder="1"/>
    <xf numFmtId="0" fontId="29" fillId="15" borderId="2" xfId="0" applyFont="1" applyFill="1" applyBorder="1"/>
    <xf numFmtId="0" fontId="29" fillId="15" borderId="7" xfId="0" applyFont="1" applyFill="1" applyBorder="1"/>
    <xf numFmtId="0" fontId="30" fillId="14" borderId="25" xfId="0" applyFont="1" applyFill="1" applyBorder="1"/>
    <xf numFmtId="0" fontId="23" fillId="14" borderId="1" xfId="0" applyFont="1" applyFill="1" applyBorder="1" applyAlignment="1">
      <alignment horizontal="center"/>
    </xf>
    <xf numFmtId="167" fontId="9" fillId="14" borderId="8" xfId="1" applyNumberFormat="1" applyFont="1" applyFill="1" applyBorder="1" applyAlignment="1">
      <alignment wrapText="1"/>
    </xf>
    <xf numFmtId="0" fontId="25" fillId="14" borderId="8" xfId="0" applyFont="1" applyFill="1" applyBorder="1"/>
    <xf numFmtId="0" fontId="27" fillId="14" borderId="8" xfId="0" applyFont="1" applyFill="1" applyBorder="1" applyAlignment="1">
      <alignment wrapText="1"/>
    </xf>
    <xf numFmtId="167" fontId="8" fillId="14" borderId="14" xfId="1" applyNumberFormat="1" applyFont="1" applyFill="1" applyBorder="1" applyAlignment="1">
      <alignment vertical="center" wrapText="1"/>
    </xf>
    <xf numFmtId="0" fontId="25" fillId="15" borderId="9" xfId="5" applyNumberFormat="1" applyFont="1" applyFill="1" applyBorder="1" applyAlignment="1" applyProtection="1">
      <alignment horizontal="left"/>
    </xf>
    <xf numFmtId="0" fontId="26" fillId="15" borderId="9" xfId="0" applyFont="1" applyFill="1" applyBorder="1"/>
    <xf numFmtId="0" fontId="23" fillId="15" borderId="9" xfId="0" applyFont="1" applyFill="1" applyBorder="1"/>
    <xf numFmtId="0" fontId="23" fillId="15" borderId="14" xfId="0" applyFont="1" applyFill="1" applyBorder="1"/>
    <xf numFmtId="0" fontId="16" fillId="14" borderId="35" xfId="0" applyFont="1" applyFill="1" applyBorder="1" applyAlignment="1">
      <alignment horizontal="center" vertical="center"/>
    </xf>
    <xf numFmtId="0" fontId="21" fillId="14" borderId="34" xfId="0" applyFont="1" applyFill="1" applyBorder="1"/>
    <xf numFmtId="3" fontId="22" fillId="14" borderId="34" xfId="0" applyNumberFormat="1" applyFont="1" applyFill="1" applyBorder="1" applyAlignment="1">
      <alignment horizontal="right"/>
    </xf>
    <xf numFmtId="0" fontId="18" fillId="14" borderId="1" xfId="5" applyNumberFormat="1" applyFont="1" applyFill="1" applyBorder="1" applyAlignment="1" applyProtection="1">
      <alignment horizontal="left" wrapText="1"/>
    </xf>
    <xf numFmtId="1" fontId="18" fillId="14" borderId="2" xfId="0" applyNumberFormat="1" applyFont="1" applyFill="1" applyBorder="1" applyAlignment="1">
      <alignment horizontal="right" wrapText="1"/>
    </xf>
    <xf numFmtId="0" fontId="18" fillId="14" borderId="2" xfId="5" applyNumberFormat="1" applyFont="1" applyFill="1" applyBorder="1" applyAlignment="1" applyProtection="1">
      <alignment horizontal="left" wrapText="1"/>
    </xf>
    <xf numFmtId="0" fontId="19" fillId="14" borderId="2" xfId="5" applyNumberFormat="1" applyFont="1" applyFill="1" applyBorder="1" applyAlignment="1" applyProtection="1">
      <alignment horizontal="left" wrapText="1"/>
    </xf>
    <xf numFmtId="0" fontId="20" fillId="14" borderId="2" xfId="0" applyFont="1" applyFill="1" applyBorder="1" applyAlignment="1">
      <alignment wrapText="1"/>
    </xf>
    <xf numFmtId="0" fontId="19" fillId="14" borderId="7" xfId="5" applyNumberFormat="1" applyFont="1" applyFill="1" applyBorder="1" applyAlignment="1" applyProtection="1">
      <alignment horizontal="left" wrapText="1"/>
    </xf>
    <xf numFmtId="0" fontId="22" fillId="15" borderId="8" xfId="0" applyFont="1" applyFill="1" applyBorder="1"/>
    <xf numFmtId="0" fontId="19" fillId="15" borderId="9" xfId="0" applyFont="1" applyFill="1" applyBorder="1" applyAlignment="1">
      <alignment wrapText="1"/>
    </xf>
    <xf numFmtId="0" fontId="19" fillId="15" borderId="9" xfId="5" applyNumberFormat="1" applyFont="1" applyFill="1" applyBorder="1" applyAlignment="1" applyProtection="1">
      <alignment horizontal="left" wrapText="1"/>
    </xf>
    <xf numFmtId="0" fontId="20" fillId="15" borderId="9" xfId="0" applyFont="1" applyFill="1" applyBorder="1" applyAlignment="1">
      <alignment wrapText="1"/>
    </xf>
    <xf numFmtId="0" fontId="19" fillId="15" borderId="14" xfId="5" applyNumberFormat="1" applyFont="1" applyFill="1" applyBorder="1" applyAlignment="1" applyProtection="1">
      <alignment horizontal="left" wrapText="1"/>
    </xf>
    <xf numFmtId="0" fontId="0" fillId="15" borderId="9" xfId="0" applyFill="1" applyBorder="1"/>
    <xf numFmtId="0" fontId="0" fillId="15" borderId="14" xfId="0" applyFill="1" applyBorder="1"/>
    <xf numFmtId="0" fontId="6" fillId="16" borderId="9" xfId="0" applyFont="1" applyFill="1" applyBorder="1" applyAlignment="1">
      <alignment vertical="center" wrapText="1"/>
    </xf>
    <xf numFmtId="0" fontId="5" fillId="16" borderId="9" xfId="0" applyFont="1" applyFill="1" applyBorder="1" applyAlignment="1">
      <alignment vertical="center" wrapText="1"/>
    </xf>
    <xf numFmtId="0" fontId="5" fillId="16" borderId="15" xfId="0" applyFont="1" applyFill="1" applyBorder="1" applyAlignment="1">
      <alignment vertical="center" wrapText="1"/>
    </xf>
    <xf numFmtId="0" fontId="5" fillId="16" borderId="16" xfId="0" applyFont="1" applyFill="1" applyBorder="1" applyAlignment="1">
      <alignment vertical="center" wrapText="1"/>
    </xf>
    <xf numFmtId="0" fontId="5" fillId="16" borderId="17" xfId="0" applyFont="1" applyFill="1" applyBorder="1" applyAlignment="1">
      <alignment vertical="center" wrapText="1"/>
    </xf>
    <xf numFmtId="0" fontId="5" fillId="16" borderId="14" xfId="0" applyFont="1" applyFill="1" applyBorder="1" applyAlignment="1">
      <alignment vertical="center" wrapText="1"/>
    </xf>
    <xf numFmtId="0" fontId="12" fillId="15" borderId="9" xfId="0" applyFont="1" applyFill="1" applyBorder="1"/>
    <xf numFmtId="0" fontId="31" fillId="15" borderId="9" xfId="0" applyFont="1" applyFill="1" applyBorder="1"/>
    <xf numFmtId="0" fontId="31" fillId="15" borderId="14" xfId="0" applyFont="1" applyFill="1" applyBorder="1"/>
    <xf numFmtId="0" fontId="31" fillId="5" borderId="8" xfId="0" applyFont="1" applyFill="1" applyBorder="1" applyAlignment="1">
      <alignment horizontal="center"/>
    </xf>
    <xf numFmtId="0" fontId="12" fillId="5" borderId="9" xfId="0" applyFont="1" applyFill="1" applyBorder="1"/>
    <xf numFmtId="0" fontId="12" fillId="5" borderId="9" xfId="0" applyFont="1" applyFill="1" applyBorder="1" applyAlignment="1">
      <alignment wrapText="1"/>
    </xf>
    <xf numFmtId="0" fontId="12" fillId="5" borderId="14" xfId="0" applyFont="1" applyFill="1" applyBorder="1"/>
    <xf numFmtId="0" fontId="12" fillId="5" borderId="8" xfId="0" applyFont="1" applyFill="1" applyBorder="1"/>
    <xf numFmtId="0" fontId="12" fillId="5" borderId="14" xfId="0" applyFont="1" applyFill="1" applyBorder="1" applyAlignment="1">
      <alignment wrapText="1"/>
    </xf>
    <xf numFmtId="0" fontId="12" fillId="14" borderId="8" xfId="0" applyFont="1" applyFill="1" applyBorder="1"/>
    <xf numFmtId="0" fontId="12" fillId="14" borderId="26" xfId="0" applyFont="1" applyFill="1" applyBorder="1"/>
    <xf numFmtId="0" fontId="51" fillId="16" borderId="1" xfId="0" applyFont="1" applyFill="1" applyBorder="1" applyAlignment="1">
      <alignment horizontal="center"/>
    </xf>
    <xf numFmtId="167" fontId="8" fillId="16" borderId="2" xfId="1" applyNumberFormat="1" applyFont="1" applyFill="1" applyBorder="1" applyAlignment="1">
      <alignment horizontal="center" wrapText="1"/>
    </xf>
    <xf numFmtId="0" fontId="26" fillId="16" borderId="2" xfId="0" applyFont="1" applyFill="1" applyBorder="1" applyAlignment="1">
      <alignment shrinkToFit="1"/>
    </xf>
    <xf numFmtId="0" fontId="26" fillId="16" borderId="8" xfId="0" applyFont="1" applyFill="1" applyBorder="1"/>
    <xf numFmtId="0" fontId="26" fillId="16" borderId="9" xfId="0" applyFont="1" applyFill="1" applyBorder="1"/>
    <xf numFmtId="0" fontId="26" fillId="16" borderId="9" xfId="0" applyFont="1" applyFill="1" applyBorder="1" applyAlignment="1">
      <alignment shrinkToFit="1"/>
    </xf>
    <xf numFmtId="168" fontId="15" fillId="16" borderId="9" xfId="1" applyNumberFormat="1" applyFont="1" applyFill="1" applyBorder="1" applyAlignment="1">
      <alignment shrinkToFit="1"/>
    </xf>
    <xf numFmtId="0" fontId="16" fillId="6" borderId="25" xfId="0" applyFont="1" applyFill="1" applyBorder="1"/>
    <xf numFmtId="0" fontId="16" fillId="6" borderId="16" xfId="0" applyFont="1" applyFill="1" applyBorder="1"/>
    <xf numFmtId="0" fontId="16" fillId="6" borderId="9" xfId="0" applyFont="1" applyFill="1" applyBorder="1"/>
    <xf numFmtId="0" fontId="16" fillId="13" borderId="26" xfId="0" applyFont="1" applyFill="1" applyBorder="1"/>
    <xf numFmtId="168" fontId="53" fillId="13" borderId="26" xfId="1" applyNumberFormat="1" applyFont="1" applyFill="1" applyBorder="1" applyAlignment="1">
      <alignment shrinkToFit="1"/>
    </xf>
    <xf numFmtId="168" fontId="53" fillId="13" borderId="30" xfId="1" applyNumberFormat="1" applyFont="1" applyFill="1" applyBorder="1" applyAlignment="1">
      <alignment shrinkToFit="1"/>
    </xf>
  </cellXfs>
  <cellStyles count="13">
    <cellStyle name="Bad" xfId="4" builtinId="27"/>
    <cellStyle name="Comma" xfId="1" builtinId="3"/>
    <cellStyle name="Good" xfId="3" builtinId="26"/>
    <cellStyle name="Normal" xfId="0" builtinId="0"/>
    <cellStyle name="Normal 2 2 2" xfId="12"/>
    <cellStyle name="Normal 4" xfId="11"/>
    <cellStyle name="Normal_Draft1" xfId="6"/>
    <cellStyle name="Normal_Final" xfId="10"/>
    <cellStyle name="Normal_HD-Guatemala" xfId="7"/>
    <cellStyle name="Normal_Mini-Mini for Web-Final-18 nov" xfId="8"/>
    <cellStyle name="Normal_Technical mini WHR2007" xfId="9"/>
    <cellStyle name="Normal_ZR_Obrasci_2005_ZR_Dvanaestomesecni_20101" xfId="5"/>
    <cellStyle name="Percent" xfId="2" builtinId="5"/>
  </cellStyles>
  <dxfs count="1">
    <dxf>
      <font>
        <condense val="0"/>
        <extend val="0"/>
        <color indexed="23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opLeftCell="B8" workbookViewId="0">
      <selection activeCell="Q5" sqref="Q5"/>
    </sheetView>
  </sheetViews>
  <sheetFormatPr defaultRowHeight="15" x14ac:dyDescent="0.25"/>
  <cols>
    <col min="1" max="1" width="3" style="178" hidden="1" customWidth="1"/>
    <col min="2" max="2" width="6.28515625" style="178" customWidth="1"/>
    <col min="3" max="3" width="35.5703125" style="178" customWidth="1"/>
    <col min="4" max="4" width="24.85546875" style="178" customWidth="1"/>
    <col min="5" max="6" width="12.140625" style="178" customWidth="1"/>
    <col min="7" max="7" width="12" style="178" customWidth="1"/>
    <col min="8" max="8" width="9.140625" style="178"/>
    <col min="9" max="9" width="2.42578125" style="178" customWidth="1"/>
    <col min="10" max="10" width="9.140625" style="178"/>
    <col min="11" max="11" width="1.140625" style="178" customWidth="1"/>
    <col min="12" max="12" width="4.7109375" style="178" hidden="1" customWidth="1"/>
    <col min="13" max="13" width="14.5703125" style="178" customWidth="1"/>
    <col min="14" max="14" width="10.28515625" style="178" customWidth="1"/>
    <col min="15" max="15" width="12.28515625" style="178" customWidth="1"/>
    <col min="16" max="16" width="9.7109375" style="178" customWidth="1"/>
    <col min="17" max="17" width="12" style="178" customWidth="1"/>
    <col min="18" max="18" width="16.140625" style="178" customWidth="1"/>
    <col min="19" max="16384" width="9.140625" style="178"/>
  </cols>
  <sheetData>
    <row r="1" spans="1:18" ht="18.75" customHeight="1" x14ac:dyDescent="0.3">
      <c r="A1" s="1">
        <v>2018</v>
      </c>
      <c r="B1" s="2"/>
      <c r="C1" s="253" t="s">
        <v>0</v>
      </c>
      <c r="D1" s="253" t="s">
        <v>1</v>
      </c>
      <c r="E1" s="253" t="s">
        <v>2</v>
      </c>
      <c r="F1" s="253" t="s">
        <v>3</v>
      </c>
      <c r="G1" s="253" t="s">
        <v>4</v>
      </c>
      <c r="H1" s="255" t="s">
        <v>5</v>
      </c>
      <c r="I1" s="256"/>
      <c r="J1" s="255" t="s">
        <v>6</v>
      </c>
      <c r="K1" s="259"/>
      <c r="L1" s="256"/>
      <c r="M1" s="253" t="s">
        <v>7</v>
      </c>
      <c r="N1" s="253" t="s">
        <v>8</v>
      </c>
      <c r="O1" s="253" t="s">
        <v>9</v>
      </c>
      <c r="P1" s="253" t="s">
        <v>10</v>
      </c>
      <c r="Q1" s="251" t="s">
        <v>11</v>
      </c>
    </row>
    <row r="2" spans="1:18" ht="114.75" customHeight="1" x14ac:dyDescent="0.25">
      <c r="A2" s="3" t="s">
        <v>12</v>
      </c>
      <c r="B2" s="4">
        <v>2018</v>
      </c>
      <c r="C2" s="254"/>
      <c r="D2" s="254"/>
      <c r="E2" s="254"/>
      <c r="F2" s="254"/>
      <c r="G2" s="254"/>
      <c r="H2" s="257"/>
      <c r="I2" s="258"/>
      <c r="J2" s="257"/>
      <c r="K2" s="260"/>
      <c r="L2" s="258"/>
      <c r="M2" s="254"/>
      <c r="N2" s="254"/>
      <c r="O2" s="254"/>
      <c r="P2" s="254"/>
      <c r="Q2" s="252"/>
    </row>
    <row r="3" spans="1:18" ht="38.25" x14ac:dyDescent="0.25">
      <c r="A3" s="5" t="s">
        <v>13</v>
      </c>
      <c r="B3" s="6" t="s">
        <v>14</v>
      </c>
      <c r="C3" s="304"/>
      <c r="D3" s="305" t="s">
        <v>15</v>
      </c>
      <c r="E3" s="305" t="s">
        <v>16</v>
      </c>
      <c r="F3" s="305" t="s">
        <v>17</v>
      </c>
      <c r="G3" s="305" t="s">
        <v>18</v>
      </c>
      <c r="H3" s="306" t="s">
        <v>19</v>
      </c>
      <c r="I3" s="307"/>
      <c r="J3" s="306" t="s">
        <v>20</v>
      </c>
      <c r="K3" s="308"/>
      <c r="L3" s="307"/>
      <c r="M3" s="305" t="s">
        <v>21</v>
      </c>
      <c r="N3" s="305" t="s">
        <v>22</v>
      </c>
      <c r="O3" s="305" t="s">
        <v>23</v>
      </c>
      <c r="P3" s="305" t="s">
        <v>24</v>
      </c>
      <c r="Q3" s="309" t="s">
        <v>25</v>
      </c>
    </row>
    <row r="4" spans="1:18" ht="25.5" x14ac:dyDescent="0.25">
      <c r="A4" s="8" t="s">
        <v>26</v>
      </c>
      <c r="B4" s="9"/>
      <c r="C4" s="9" t="s">
        <v>27</v>
      </c>
      <c r="D4" s="10">
        <v>36579790</v>
      </c>
      <c r="E4" s="10">
        <v>5500000</v>
      </c>
      <c r="F4" s="10">
        <v>2760166</v>
      </c>
      <c r="G4" s="10">
        <v>74083719</v>
      </c>
      <c r="H4" s="245">
        <v>77174316</v>
      </c>
      <c r="I4" s="246"/>
      <c r="J4" s="245">
        <v>9650954</v>
      </c>
      <c r="K4" s="247"/>
      <c r="L4" s="246"/>
      <c r="M4" s="10">
        <v>53959735</v>
      </c>
      <c r="N4" s="11"/>
      <c r="O4" s="11"/>
      <c r="P4" s="11"/>
      <c r="Q4" s="12">
        <f>M4+J4+H4+G4+F4+E4+D4</f>
        <v>259708680</v>
      </c>
      <c r="R4" s="179"/>
    </row>
    <row r="5" spans="1:18" ht="51.75" x14ac:dyDescent="0.25">
      <c r="A5" s="13" t="s">
        <v>28</v>
      </c>
      <c r="B5" s="14" t="s">
        <v>26</v>
      </c>
      <c r="C5" s="14" t="s">
        <v>29</v>
      </c>
      <c r="D5" s="15" t="s">
        <v>30</v>
      </c>
      <c r="E5" s="16"/>
      <c r="F5" s="16">
        <v>2760166</v>
      </c>
      <c r="G5" s="15"/>
      <c r="H5" s="248"/>
      <c r="I5" s="249"/>
      <c r="J5" s="248"/>
      <c r="K5" s="250"/>
      <c r="L5" s="249"/>
      <c r="M5" s="15"/>
      <c r="N5" s="15" t="s">
        <v>31</v>
      </c>
      <c r="O5" s="15"/>
      <c r="P5" s="17"/>
      <c r="Q5" s="18">
        <v>16639956</v>
      </c>
    </row>
    <row r="6" spans="1:18" ht="63.75" x14ac:dyDescent="0.25">
      <c r="A6" s="19" t="s">
        <v>32</v>
      </c>
      <c r="B6" s="7" t="s">
        <v>32</v>
      </c>
      <c r="C6" s="7" t="s">
        <v>33</v>
      </c>
      <c r="D6" s="20" t="s">
        <v>34</v>
      </c>
      <c r="E6" s="21"/>
      <c r="F6" s="22">
        <v>318784</v>
      </c>
      <c r="G6" s="21"/>
      <c r="H6" s="215"/>
      <c r="I6" s="216"/>
      <c r="J6" s="215"/>
      <c r="K6" s="217"/>
      <c r="L6" s="216"/>
      <c r="M6" s="21"/>
      <c r="N6" s="21"/>
      <c r="O6" s="21"/>
      <c r="P6" s="23"/>
      <c r="Q6" s="24">
        <v>9354673</v>
      </c>
    </row>
    <row r="7" spans="1:18" ht="63.75" x14ac:dyDescent="0.25">
      <c r="A7" s="19" t="s">
        <v>35</v>
      </c>
      <c r="B7" s="7" t="s">
        <v>35</v>
      </c>
      <c r="C7" s="7" t="s">
        <v>36</v>
      </c>
      <c r="D7" s="21" t="s">
        <v>37</v>
      </c>
      <c r="E7" s="21"/>
      <c r="F7" s="22">
        <v>2441382</v>
      </c>
      <c r="G7" s="21"/>
      <c r="H7" s="215"/>
      <c r="I7" s="216"/>
      <c r="J7" s="215"/>
      <c r="K7" s="217"/>
      <c r="L7" s="216"/>
      <c r="M7" s="21"/>
      <c r="N7" s="21"/>
      <c r="O7" s="21"/>
      <c r="P7" s="23"/>
      <c r="Q7" s="24">
        <v>7285283</v>
      </c>
    </row>
    <row r="8" spans="1:18" ht="38.25" x14ac:dyDescent="0.25">
      <c r="A8" s="25" t="s">
        <v>38</v>
      </c>
      <c r="B8" s="14" t="s">
        <v>38</v>
      </c>
      <c r="C8" s="14" t="s">
        <v>39</v>
      </c>
      <c r="D8" s="26">
        <v>22700000</v>
      </c>
      <c r="E8" s="26">
        <v>5500000</v>
      </c>
      <c r="F8" s="17"/>
      <c r="G8" s="26">
        <v>74083719</v>
      </c>
      <c r="H8" s="242">
        <v>77174316</v>
      </c>
      <c r="I8" s="243"/>
      <c r="J8" s="242">
        <v>9650954</v>
      </c>
      <c r="K8" s="244"/>
      <c r="L8" s="243"/>
      <c r="M8" s="26">
        <v>53959735</v>
      </c>
      <c r="N8" s="16"/>
      <c r="O8" s="27"/>
      <c r="P8" s="17"/>
      <c r="Q8" s="28">
        <f>M8+J8+H8+G8+E8+D8</f>
        <v>243068724</v>
      </c>
      <c r="R8" s="179"/>
    </row>
    <row r="9" spans="1:18" ht="63.75" x14ac:dyDescent="0.25">
      <c r="A9" s="19" t="s">
        <v>40</v>
      </c>
      <c r="B9" s="7" t="s">
        <v>41</v>
      </c>
      <c r="C9" s="7" t="s">
        <v>42</v>
      </c>
      <c r="D9" s="29">
        <v>22700000</v>
      </c>
      <c r="E9" s="30">
        <v>5500000</v>
      </c>
      <c r="F9" s="22"/>
      <c r="G9" s="29">
        <v>74083719</v>
      </c>
      <c r="H9" s="239">
        <v>77174316</v>
      </c>
      <c r="I9" s="240"/>
      <c r="J9" s="239">
        <v>9650954</v>
      </c>
      <c r="K9" s="241"/>
      <c r="L9" s="240"/>
      <c r="M9" s="29">
        <v>53959735</v>
      </c>
      <c r="N9" s="21"/>
      <c r="O9" s="21"/>
      <c r="P9" s="31"/>
      <c r="Q9" s="32">
        <f>M9+J9+H9+G9+E9+D9</f>
        <v>243068724</v>
      </c>
    </row>
    <row r="10" spans="1:18" ht="25.5" x14ac:dyDescent="0.25">
      <c r="A10" s="33" t="s">
        <v>43</v>
      </c>
      <c r="B10" s="34"/>
      <c r="C10" s="34" t="s">
        <v>44</v>
      </c>
      <c r="D10" s="35"/>
      <c r="E10" s="35"/>
      <c r="F10" s="35"/>
      <c r="G10" s="35"/>
      <c r="H10" s="218"/>
      <c r="I10" s="219"/>
      <c r="J10" s="218"/>
      <c r="K10" s="220"/>
      <c r="L10" s="219"/>
      <c r="M10" s="35"/>
      <c r="N10" s="36">
        <v>3465351</v>
      </c>
      <c r="O10" s="37"/>
      <c r="P10" s="36">
        <v>3617580</v>
      </c>
      <c r="Q10" s="38">
        <f>P10+N10</f>
        <v>7082931</v>
      </c>
    </row>
    <row r="11" spans="1:18" ht="38.25" x14ac:dyDescent="0.25">
      <c r="A11" s="19" t="s">
        <v>45</v>
      </c>
      <c r="B11" s="7" t="s">
        <v>45</v>
      </c>
      <c r="C11" s="7" t="s">
        <v>46</v>
      </c>
      <c r="D11" s="21" t="s">
        <v>47</v>
      </c>
      <c r="E11" s="21"/>
      <c r="F11" s="21"/>
      <c r="G11" s="21"/>
      <c r="H11" s="215"/>
      <c r="I11" s="216"/>
      <c r="J11" s="215"/>
      <c r="K11" s="217"/>
      <c r="L11" s="216"/>
      <c r="M11" s="21"/>
      <c r="N11" s="22">
        <v>3465351</v>
      </c>
      <c r="O11" s="21"/>
      <c r="P11" s="23"/>
      <c r="Q11" s="24"/>
    </row>
    <row r="12" spans="1:18" ht="38.25" x14ac:dyDescent="0.25">
      <c r="A12" s="19" t="s">
        <v>48</v>
      </c>
      <c r="B12" s="7" t="s">
        <v>49</v>
      </c>
      <c r="C12" s="7" t="s">
        <v>50</v>
      </c>
      <c r="D12" s="21"/>
      <c r="E12" s="21"/>
      <c r="F12" s="39"/>
      <c r="G12" s="21"/>
      <c r="H12" s="215"/>
      <c r="I12" s="216"/>
      <c r="J12" s="215"/>
      <c r="K12" s="217"/>
      <c r="L12" s="216"/>
      <c r="M12" s="21"/>
      <c r="N12" s="31"/>
      <c r="O12" s="31"/>
      <c r="P12" s="22">
        <v>3617580</v>
      </c>
      <c r="Q12" s="32"/>
    </row>
    <row r="13" spans="1:18" ht="38.25" x14ac:dyDescent="0.25">
      <c r="A13" s="33" t="s">
        <v>51</v>
      </c>
      <c r="B13" s="40"/>
      <c r="C13" s="34" t="s">
        <v>52</v>
      </c>
      <c r="D13" s="35"/>
      <c r="E13" s="35"/>
      <c r="F13" s="35"/>
      <c r="G13" s="35"/>
      <c r="H13" s="218"/>
      <c r="I13" s="219"/>
      <c r="J13" s="218"/>
      <c r="K13" s="220"/>
      <c r="L13" s="219"/>
      <c r="M13" s="35"/>
      <c r="N13" s="41"/>
      <c r="O13" s="36"/>
      <c r="P13" s="41"/>
      <c r="Q13" s="38">
        <v>165812131</v>
      </c>
      <c r="R13" s="179"/>
    </row>
    <row r="14" spans="1:18" ht="15" customHeight="1" x14ac:dyDescent="0.25">
      <c r="A14" s="19" t="s">
        <v>53</v>
      </c>
      <c r="B14" s="221" t="s">
        <v>54</v>
      </c>
      <c r="C14" s="224" t="s">
        <v>52</v>
      </c>
      <c r="D14" s="227"/>
      <c r="E14" s="227"/>
      <c r="F14" s="227"/>
      <c r="G14" s="227"/>
      <c r="H14" s="230"/>
      <c r="I14" s="231"/>
      <c r="J14" s="230"/>
      <c r="K14" s="236"/>
      <c r="L14" s="231"/>
      <c r="M14" s="209"/>
      <c r="N14" s="209"/>
      <c r="O14" s="22">
        <v>165812131</v>
      </c>
      <c r="P14" s="23"/>
      <c r="Q14" s="42"/>
    </row>
    <row r="15" spans="1:18" ht="38.25" x14ac:dyDescent="0.25">
      <c r="A15" s="19" t="s">
        <v>55</v>
      </c>
      <c r="B15" s="222"/>
      <c r="C15" s="225"/>
      <c r="D15" s="228"/>
      <c r="E15" s="228"/>
      <c r="F15" s="228"/>
      <c r="G15" s="228"/>
      <c r="H15" s="232"/>
      <c r="I15" s="233"/>
      <c r="J15" s="232"/>
      <c r="K15" s="237"/>
      <c r="L15" s="233"/>
      <c r="M15" s="210"/>
      <c r="N15" s="210"/>
      <c r="O15" s="180">
        <f>O14-O16</f>
        <v>143010764</v>
      </c>
      <c r="P15" s="23"/>
      <c r="Q15" s="43"/>
    </row>
    <row r="16" spans="1:18" x14ac:dyDescent="0.25">
      <c r="A16" s="19"/>
      <c r="B16" s="222"/>
      <c r="C16" s="225"/>
      <c r="D16" s="228"/>
      <c r="E16" s="228"/>
      <c r="F16" s="228"/>
      <c r="G16" s="228"/>
      <c r="H16" s="232"/>
      <c r="I16" s="233"/>
      <c r="J16" s="232"/>
      <c r="K16" s="237"/>
      <c r="L16" s="233"/>
      <c r="M16" s="210"/>
      <c r="N16" s="210"/>
      <c r="O16" s="22">
        <v>22801366.999999996</v>
      </c>
      <c r="P16" s="23"/>
      <c r="Q16" s="43"/>
    </row>
    <row r="17" spans="1:17" x14ac:dyDescent="0.25">
      <c r="A17" s="19"/>
      <c r="B17" s="223"/>
      <c r="C17" s="226"/>
      <c r="D17" s="228"/>
      <c r="E17" s="228"/>
      <c r="F17" s="228"/>
      <c r="G17" s="228"/>
      <c r="H17" s="232"/>
      <c r="I17" s="233"/>
      <c r="J17" s="232"/>
      <c r="K17" s="237"/>
      <c r="L17" s="233"/>
      <c r="M17" s="210"/>
      <c r="N17" s="210"/>
      <c r="O17" s="22">
        <v>19468192.999999996</v>
      </c>
      <c r="P17" s="23"/>
      <c r="Q17" s="24"/>
    </row>
    <row r="18" spans="1:17" x14ac:dyDescent="0.25">
      <c r="A18" s="19"/>
      <c r="B18" s="6"/>
      <c r="C18" s="6"/>
      <c r="D18" s="229"/>
      <c r="E18" s="229"/>
      <c r="F18" s="229"/>
      <c r="G18" s="229"/>
      <c r="H18" s="234"/>
      <c r="I18" s="235"/>
      <c r="J18" s="234"/>
      <c r="K18" s="238"/>
      <c r="L18" s="235"/>
      <c r="M18" s="211"/>
      <c r="N18" s="211"/>
      <c r="O18" s="22">
        <v>3333174</v>
      </c>
      <c r="P18" s="23"/>
      <c r="Q18" s="43"/>
    </row>
    <row r="19" spans="1:17" ht="36" customHeight="1" thickBot="1" x14ac:dyDescent="0.3">
      <c r="A19" s="44"/>
      <c r="B19" s="45"/>
      <c r="C19" s="45" t="s">
        <v>56</v>
      </c>
      <c r="D19" s="46"/>
      <c r="E19" s="46"/>
      <c r="F19" s="46"/>
      <c r="G19" s="46"/>
      <c r="H19" s="212"/>
      <c r="I19" s="213"/>
      <c r="J19" s="212"/>
      <c r="K19" s="214"/>
      <c r="L19" s="213"/>
      <c r="M19" s="46"/>
      <c r="N19" s="46"/>
      <c r="O19" s="47"/>
      <c r="P19" s="47"/>
      <c r="Q19" s="181">
        <f>Q13+Q10+Q4</f>
        <v>432603742</v>
      </c>
    </row>
  </sheetData>
  <mergeCells count="46">
    <mergeCell ref="Q1:Q2"/>
    <mergeCell ref="C1:C2"/>
    <mergeCell ref="D1:D2"/>
    <mergeCell ref="E1:E2"/>
    <mergeCell ref="F1:F2"/>
    <mergeCell ref="G1:G2"/>
    <mergeCell ref="H1:I2"/>
    <mergeCell ref="J1:L2"/>
    <mergeCell ref="M1:M2"/>
    <mergeCell ref="N1:N2"/>
    <mergeCell ref="O1:O2"/>
    <mergeCell ref="P1:P2"/>
    <mergeCell ref="H3:I3"/>
    <mergeCell ref="J3:L3"/>
    <mergeCell ref="H4:I4"/>
    <mergeCell ref="J4:L4"/>
    <mergeCell ref="H5:I5"/>
    <mergeCell ref="J5:L5"/>
    <mergeCell ref="H6:I6"/>
    <mergeCell ref="J6:L6"/>
    <mergeCell ref="H7:I7"/>
    <mergeCell ref="J7:L7"/>
    <mergeCell ref="H8:I8"/>
    <mergeCell ref="J8:L8"/>
    <mergeCell ref="G14:G18"/>
    <mergeCell ref="H14:I18"/>
    <mergeCell ref="J14:L18"/>
    <mergeCell ref="H9:I9"/>
    <mergeCell ref="J9:L9"/>
    <mergeCell ref="H10:I10"/>
    <mergeCell ref="J10:L10"/>
    <mergeCell ref="H11:I11"/>
    <mergeCell ref="J11:L11"/>
    <mergeCell ref="B14:B17"/>
    <mergeCell ref="C14:C17"/>
    <mergeCell ref="D14:D18"/>
    <mergeCell ref="E14:E18"/>
    <mergeCell ref="F14:F18"/>
    <mergeCell ref="M14:M18"/>
    <mergeCell ref="N14:N18"/>
    <mergeCell ref="H19:I19"/>
    <mergeCell ref="J19:L19"/>
    <mergeCell ref="H12:I12"/>
    <mergeCell ref="J12:L12"/>
    <mergeCell ref="H13:I13"/>
    <mergeCell ref="J13:L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2" workbookViewId="0">
      <selection activeCell="A26" sqref="A26"/>
    </sheetView>
  </sheetViews>
  <sheetFormatPr defaultRowHeight="15" x14ac:dyDescent="0.25"/>
  <cols>
    <col min="1" max="1" width="34.42578125" customWidth="1"/>
    <col min="2" max="2" width="14.140625" customWidth="1"/>
    <col min="3" max="3" width="15.28515625" customWidth="1"/>
    <col min="4" max="4" width="15.85546875" customWidth="1"/>
    <col min="5" max="5" width="12.7109375" customWidth="1"/>
    <col min="6" max="6" width="15.85546875" customWidth="1"/>
    <col min="7" max="7" width="15.140625" customWidth="1"/>
    <col min="8" max="8" width="13.85546875" customWidth="1"/>
    <col min="9" max="9" width="18.140625" customWidth="1"/>
  </cols>
  <sheetData>
    <row r="1" spans="1:9" x14ac:dyDescent="0.25">
      <c r="A1" s="48" t="s">
        <v>58</v>
      </c>
      <c r="B1" s="49" t="s">
        <v>59</v>
      </c>
      <c r="C1" s="50"/>
      <c r="D1" s="50"/>
      <c r="E1" s="49"/>
      <c r="F1" s="49"/>
      <c r="G1" s="49"/>
      <c r="H1" s="49"/>
      <c r="I1" s="51"/>
    </row>
    <row r="2" spans="1:9" x14ac:dyDescent="0.25">
      <c r="A2" s="182">
        <v>2018</v>
      </c>
      <c r="B2" s="52" t="s">
        <v>0</v>
      </c>
      <c r="C2" s="53"/>
      <c r="D2" s="53"/>
      <c r="E2" s="52"/>
      <c r="F2" s="52"/>
      <c r="G2" s="52"/>
      <c r="H2" s="52"/>
      <c r="I2" s="54"/>
    </row>
    <row r="3" spans="1:9" x14ac:dyDescent="0.25">
      <c r="A3" s="182" t="s">
        <v>60</v>
      </c>
      <c r="B3" s="302"/>
      <c r="C3" s="302" t="s">
        <v>32</v>
      </c>
      <c r="D3" s="302" t="s">
        <v>32</v>
      </c>
      <c r="E3" s="302" t="s">
        <v>35</v>
      </c>
      <c r="F3" s="302" t="s">
        <v>35</v>
      </c>
      <c r="G3" s="302" t="s">
        <v>41</v>
      </c>
      <c r="H3" s="302" t="s">
        <v>55</v>
      </c>
      <c r="I3" s="303" t="s">
        <v>55</v>
      </c>
    </row>
    <row r="4" spans="1:9" ht="36" x14ac:dyDescent="0.25">
      <c r="A4" s="182" t="s">
        <v>61</v>
      </c>
      <c r="B4" s="182" t="s">
        <v>62</v>
      </c>
      <c r="C4" s="182" t="s">
        <v>63</v>
      </c>
      <c r="D4" s="182" t="s">
        <v>64</v>
      </c>
      <c r="E4" s="182" t="s">
        <v>65</v>
      </c>
      <c r="F4" s="182" t="s">
        <v>66</v>
      </c>
      <c r="G4" s="182" t="s">
        <v>67</v>
      </c>
      <c r="H4" s="182" t="s">
        <v>68</v>
      </c>
      <c r="I4" s="182" t="s">
        <v>69</v>
      </c>
    </row>
    <row r="5" spans="1:9" x14ac:dyDescent="0.25">
      <c r="A5" s="182" t="s">
        <v>70</v>
      </c>
      <c r="B5" s="16">
        <v>117861661</v>
      </c>
      <c r="C5" s="16">
        <v>3442457.9342999998</v>
      </c>
      <c r="D5" s="16">
        <v>1704386</v>
      </c>
      <c r="E5" s="16">
        <v>1057011.4983784549</v>
      </c>
      <c r="F5" s="16">
        <v>151994.77459023046</v>
      </c>
      <c r="G5" s="16">
        <v>107918247.90456118</v>
      </c>
      <c r="H5" s="16">
        <v>469989.85377186537</v>
      </c>
      <c r="I5" s="16">
        <v>3117573.0343982745</v>
      </c>
    </row>
    <row r="6" spans="1:9" x14ac:dyDescent="0.25">
      <c r="A6" s="182" t="s">
        <v>71</v>
      </c>
      <c r="B6" s="16">
        <v>3713990</v>
      </c>
      <c r="C6" s="16">
        <v>109500.3559</v>
      </c>
      <c r="D6" s="16"/>
      <c r="E6" s="16"/>
      <c r="F6" s="16"/>
      <c r="G6" s="16">
        <v>3254602.0853497926</v>
      </c>
      <c r="H6" s="16">
        <v>3143.4686742806807</v>
      </c>
      <c r="I6" s="16">
        <v>346744.0900759268</v>
      </c>
    </row>
    <row r="7" spans="1:9" x14ac:dyDescent="0.25">
      <c r="A7" s="182" t="s">
        <v>72</v>
      </c>
      <c r="B7" s="16">
        <v>22317972</v>
      </c>
      <c r="C7" s="16">
        <v>421803.14610000001</v>
      </c>
      <c r="D7" s="16"/>
      <c r="E7" s="16">
        <v>547318.02979494701</v>
      </c>
      <c r="F7" s="16">
        <v>24222.006877571792</v>
      </c>
      <c r="G7" s="16">
        <v>20012309.918962404</v>
      </c>
      <c r="H7" s="16">
        <v>114107.03248468786</v>
      </c>
      <c r="I7" s="16">
        <v>1198211.865780391</v>
      </c>
    </row>
    <row r="8" spans="1:9" x14ac:dyDescent="0.25">
      <c r="A8" s="182" t="s">
        <v>73</v>
      </c>
      <c r="B8" s="16">
        <v>7773529</v>
      </c>
      <c r="C8" s="16">
        <v>44059.314800000007</v>
      </c>
      <c r="D8" s="16"/>
      <c r="E8" s="16">
        <v>1605</v>
      </c>
      <c r="F8" s="16">
        <v>6316.2303266916842</v>
      </c>
      <c r="G8" s="16">
        <v>4921839.1600742331</v>
      </c>
      <c r="H8" s="16">
        <v>42497.770449955016</v>
      </c>
      <c r="I8" s="16">
        <v>2757211.5243491209</v>
      </c>
    </row>
    <row r="9" spans="1:9" x14ac:dyDescent="0.25">
      <c r="A9" s="182" t="s">
        <v>74</v>
      </c>
      <c r="B9" s="16">
        <v>1050272</v>
      </c>
      <c r="C9" s="16"/>
      <c r="D9" s="16"/>
      <c r="E9" s="16"/>
      <c r="F9" s="16"/>
      <c r="G9" s="16">
        <v>1050272</v>
      </c>
      <c r="H9" s="16"/>
      <c r="I9" s="16"/>
    </row>
    <row r="10" spans="1:9" x14ac:dyDescent="0.25">
      <c r="A10" s="182" t="s">
        <v>75</v>
      </c>
      <c r="B10" s="16">
        <v>4877231</v>
      </c>
      <c r="C10" s="16">
        <v>5831.3798999999999</v>
      </c>
      <c r="D10" s="16"/>
      <c r="E10" s="16">
        <v>3114.7402558841386</v>
      </c>
      <c r="F10" s="16">
        <v>9437.3113858171346</v>
      </c>
      <c r="G10" s="16">
        <v>4793022.7399546439</v>
      </c>
      <c r="H10" s="16"/>
      <c r="I10" s="16">
        <v>65824.74943969649</v>
      </c>
    </row>
    <row r="11" spans="1:9" x14ac:dyDescent="0.25">
      <c r="A11" s="182" t="s">
        <v>76</v>
      </c>
      <c r="B11" s="16">
        <v>539975</v>
      </c>
      <c r="C11" s="16">
        <v>647.93110000000001</v>
      </c>
      <c r="D11" s="16"/>
      <c r="E11" s="16"/>
      <c r="F11" s="16">
        <v>8328.8423353585058</v>
      </c>
      <c r="G11" s="16">
        <v>471458.79937455885</v>
      </c>
      <c r="H11" s="16"/>
      <c r="I11" s="16">
        <v>59539.290240451264</v>
      </c>
    </row>
    <row r="12" spans="1:9" x14ac:dyDescent="0.25">
      <c r="A12" s="182" t="s">
        <v>77</v>
      </c>
      <c r="B12" s="16">
        <v>42570532</v>
      </c>
      <c r="C12" s="16">
        <v>108852.42480000001</v>
      </c>
      <c r="D12" s="16">
        <v>852192.36</v>
      </c>
      <c r="E12" s="16">
        <v>58358.223758137647</v>
      </c>
      <c r="F12" s="16">
        <v>1617679.4699018425</v>
      </c>
      <c r="G12" s="16">
        <v>37620494.207963169</v>
      </c>
      <c r="H12" s="16">
        <v>19938.87461921107</v>
      </c>
      <c r="I12" s="16">
        <v>2293016.2025174182</v>
      </c>
    </row>
    <row r="13" spans="1:9" x14ac:dyDescent="0.25">
      <c r="A13" s="182" t="s">
        <v>78</v>
      </c>
      <c r="B13" s="16">
        <v>4783795</v>
      </c>
      <c r="C13" s="16">
        <v>22029.657400000004</v>
      </c>
      <c r="D13" s="16"/>
      <c r="E13" s="16">
        <v>8128.3462581265594</v>
      </c>
      <c r="F13" s="16">
        <v>258245.19391917632</v>
      </c>
      <c r="G13" s="16">
        <v>4111724.9068343998</v>
      </c>
      <c r="H13" s="16"/>
      <c r="I13" s="16">
        <v>383667.26359355741</v>
      </c>
    </row>
    <row r="14" spans="1:9" x14ac:dyDescent="0.25">
      <c r="A14" s="182" t="s">
        <v>79</v>
      </c>
      <c r="B14" s="16">
        <v>275165</v>
      </c>
      <c r="C14" s="16"/>
      <c r="D14" s="16"/>
      <c r="E14" s="16"/>
      <c r="F14" s="16">
        <v>5591.7240579203381</v>
      </c>
      <c r="G14" s="16">
        <v>244061.52249999999</v>
      </c>
      <c r="H14" s="16"/>
      <c r="I14" s="16">
        <v>25511.991163228973</v>
      </c>
    </row>
    <row r="15" spans="1:9" x14ac:dyDescent="0.25">
      <c r="A15" s="182" t="s">
        <v>80</v>
      </c>
      <c r="B15" s="16">
        <v>62566</v>
      </c>
      <c r="C15" s="16">
        <v>1295.8622</v>
      </c>
      <c r="D15" s="16"/>
      <c r="E15" s="16">
        <v>1604</v>
      </c>
      <c r="F15" s="16"/>
      <c r="G15" s="16">
        <v>59666.368453734663</v>
      </c>
      <c r="H15" s="16"/>
      <c r="I15" s="16">
        <v>0</v>
      </c>
    </row>
    <row r="16" spans="1:9" x14ac:dyDescent="0.25">
      <c r="A16" s="182" t="s">
        <v>81</v>
      </c>
      <c r="B16" s="16">
        <v>2265599</v>
      </c>
      <c r="C16" s="16">
        <v>7775.1731999999993</v>
      </c>
      <c r="D16" s="16"/>
      <c r="E16" s="16">
        <v>84300.632660459392</v>
      </c>
      <c r="F16" s="16">
        <v>99513.617795705315</v>
      </c>
      <c r="G16" s="16">
        <v>2024075.9924567153</v>
      </c>
      <c r="H16" s="16"/>
      <c r="I16" s="16">
        <v>49933.165199686002</v>
      </c>
    </row>
    <row r="17" spans="1:9" x14ac:dyDescent="0.25">
      <c r="A17" s="182" t="s">
        <v>82</v>
      </c>
      <c r="B17" s="16">
        <v>1364549</v>
      </c>
      <c r="C17" s="16">
        <v>18142.070800000001</v>
      </c>
      <c r="D17" s="16"/>
      <c r="E17" s="16">
        <v>18277.520983474333</v>
      </c>
      <c r="F17" s="16">
        <v>1762.3125456600337</v>
      </c>
      <c r="G17" s="16">
        <v>492657.71921257483</v>
      </c>
      <c r="H17" s="16"/>
      <c r="I17" s="16">
        <v>833709.84982682625</v>
      </c>
    </row>
    <row r="18" spans="1:9" x14ac:dyDescent="0.25">
      <c r="A18" s="182" t="s">
        <v>83</v>
      </c>
      <c r="B18" s="16">
        <v>112712</v>
      </c>
      <c r="C18" s="16"/>
      <c r="D18" s="16"/>
      <c r="E18" s="16"/>
      <c r="F18" s="16"/>
      <c r="G18" s="16">
        <v>67879.517872844037</v>
      </c>
      <c r="H18" s="16"/>
      <c r="I18" s="16">
        <v>44832.539629899467</v>
      </c>
    </row>
    <row r="19" spans="1:9" x14ac:dyDescent="0.25">
      <c r="A19" s="182" t="s">
        <v>84</v>
      </c>
      <c r="B19" s="16">
        <v>20751933</v>
      </c>
      <c r="C19" s="16">
        <v>382991.17800000112</v>
      </c>
      <c r="D19" s="16"/>
      <c r="E19" s="16">
        <v>158082.44973387872</v>
      </c>
      <c r="F19" s="16">
        <v>218435.66027904916</v>
      </c>
      <c r="G19" s="16">
        <v>12096444.468512399</v>
      </c>
      <c r="H19" s="16"/>
      <c r="I19" s="16">
        <v>7895979.3102458678</v>
      </c>
    </row>
    <row r="20" spans="1:9" x14ac:dyDescent="0.25">
      <c r="A20" s="182" t="s">
        <v>85</v>
      </c>
      <c r="B20" s="16">
        <v>9108748</v>
      </c>
      <c r="C20" s="16">
        <v>1266705.3005000001</v>
      </c>
      <c r="D20" s="16"/>
      <c r="E20" s="16">
        <v>179182.00044316615</v>
      </c>
      <c r="F20" s="16">
        <v>325391.85598497669</v>
      </c>
      <c r="G20" s="16">
        <v>4257533.2589447508</v>
      </c>
      <c r="H20" s="16"/>
      <c r="I20" s="16">
        <v>3079935.1235396541</v>
      </c>
    </row>
    <row r="21" spans="1:9" x14ac:dyDescent="0.25">
      <c r="A21" s="182" t="s">
        <v>86</v>
      </c>
      <c r="B21" s="16">
        <v>4082303</v>
      </c>
      <c r="C21" s="16">
        <v>647219.27099999995</v>
      </c>
      <c r="D21" s="16"/>
      <c r="E21" s="16"/>
      <c r="F21" s="16"/>
      <c r="G21" s="16">
        <v>3435084</v>
      </c>
      <c r="H21" s="16"/>
      <c r="I21" s="16"/>
    </row>
    <row r="22" spans="1:9" x14ac:dyDescent="0.25">
      <c r="A22" s="182"/>
      <c r="B22" s="16"/>
      <c r="C22" s="16"/>
      <c r="D22" s="16"/>
      <c r="E22" s="16"/>
      <c r="F22" s="16"/>
      <c r="G22" s="16"/>
      <c r="H22" s="16"/>
      <c r="I22" s="16"/>
    </row>
    <row r="23" spans="1:9" x14ac:dyDescent="0.25">
      <c r="A23" s="182" t="s">
        <v>87</v>
      </c>
      <c r="B23" s="182">
        <v>243512532</v>
      </c>
      <c r="C23" s="182">
        <v>6479311</v>
      </c>
      <c r="D23" s="182">
        <v>2556578</v>
      </c>
      <c r="E23" s="182">
        <v>2116982</v>
      </c>
      <c r="F23" s="182">
        <v>2726919</v>
      </c>
      <c r="G23" s="182">
        <v>206831374.80000001</v>
      </c>
      <c r="H23" s="182">
        <v>649677</v>
      </c>
      <c r="I23" s="182">
        <v>22151690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topLeftCell="A8" workbookViewId="0">
      <selection activeCell="A36" sqref="A36"/>
    </sheetView>
  </sheetViews>
  <sheetFormatPr defaultRowHeight="15" x14ac:dyDescent="0.25"/>
  <cols>
    <col min="1" max="1" width="21.28515625" style="57" customWidth="1"/>
    <col min="2" max="2" width="28" style="57" customWidth="1"/>
    <col min="3" max="3" width="8.85546875" style="57" customWidth="1"/>
    <col min="4" max="4" width="7.85546875" style="57" customWidth="1"/>
    <col min="5" max="5" width="9" style="57" customWidth="1"/>
    <col min="6" max="6" width="7.85546875" style="57" customWidth="1"/>
    <col min="7" max="7" width="11" style="57" customWidth="1"/>
    <col min="8" max="8" width="10.140625" style="57" customWidth="1"/>
    <col min="9" max="9" width="7.7109375" style="57" customWidth="1"/>
    <col min="10" max="10" width="6.85546875" style="57" customWidth="1"/>
    <col min="11" max="11" width="9.140625" style="57" customWidth="1"/>
    <col min="12" max="12" width="8.42578125" style="57" customWidth="1"/>
    <col min="13" max="15" width="9.5703125" style="57" customWidth="1"/>
    <col min="16" max="16" width="9.42578125" style="57" customWidth="1"/>
    <col min="17" max="17" width="9.85546875" style="57" customWidth="1"/>
    <col min="18" max="18" width="9.7109375" style="57" customWidth="1"/>
    <col min="19" max="19" width="11.28515625" style="57" customWidth="1"/>
    <col min="20" max="53" width="9.140625" style="184"/>
    <col min="54" max="16384" width="9.140625" style="57"/>
  </cols>
  <sheetData>
    <row r="1" spans="1:67" ht="135.75" x14ac:dyDescent="0.25">
      <c r="A1" s="288">
        <v>2018</v>
      </c>
      <c r="B1" s="291" t="s">
        <v>0</v>
      </c>
      <c r="C1" s="292" t="s">
        <v>88</v>
      </c>
      <c r="D1" s="293" t="s">
        <v>89</v>
      </c>
      <c r="E1" s="293" t="s">
        <v>90</v>
      </c>
      <c r="F1" s="293" t="s">
        <v>91</v>
      </c>
      <c r="G1" s="293" t="s">
        <v>92</v>
      </c>
      <c r="H1" s="293" t="s">
        <v>93</v>
      </c>
      <c r="I1" s="293" t="s">
        <v>94</v>
      </c>
      <c r="J1" s="293" t="s">
        <v>95</v>
      </c>
      <c r="K1" s="293" t="s">
        <v>96</v>
      </c>
      <c r="L1" s="293" t="s">
        <v>97</v>
      </c>
      <c r="M1" s="294" t="s">
        <v>98</v>
      </c>
      <c r="N1" s="295" t="s">
        <v>99</v>
      </c>
      <c r="O1" s="293" t="s">
        <v>100</v>
      </c>
      <c r="P1" s="293" t="s">
        <v>101</v>
      </c>
      <c r="Q1" s="293" t="s">
        <v>102</v>
      </c>
      <c r="R1" s="293" t="s">
        <v>103</v>
      </c>
      <c r="S1" s="296" t="s">
        <v>104</v>
      </c>
    </row>
    <row r="2" spans="1:67" ht="34.5" x14ac:dyDescent="0.25">
      <c r="A2" s="289"/>
      <c r="B2" s="297" t="s">
        <v>61</v>
      </c>
      <c r="C2" s="298" t="s">
        <v>105</v>
      </c>
      <c r="D2" s="298" t="s">
        <v>106</v>
      </c>
      <c r="E2" s="298" t="s">
        <v>107</v>
      </c>
      <c r="F2" s="298" t="s">
        <v>108</v>
      </c>
      <c r="G2" s="298" t="s">
        <v>109</v>
      </c>
      <c r="H2" s="299" t="s">
        <v>110</v>
      </c>
      <c r="I2" s="299" t="s">
        <v>43</v>
      </c>
      <c r="J2" s="298" t="s">
        <v>111</v>
      </c>
      <c r="K2" s="298" t="s">
        <v>112</v>
      </c>
      <c r="L2" s="298" t="s">
        <v>113</v>
      </c>
      <c r="M2" s="298" t="s">
        <v>114</v>
      </c>
      <c r="N2" s="300" t="s">
        <v>115</v>
      </c>
      <c r="O2" s="299" t="s">
        <v>53</v>
      </c>
      <c r="P2" s="299" t="s">
        <v>116</v>
      </c>
      <c r="Q2" s="299" t="s">
        <v>117</v>
      </c>
      <c r="R2" s="299" t="s">
        <v>118</v>
      </c>
      <c r="S2" s="301" t="s">
        <v>119</v>
      </c>
    </row>
    <row r="3" spans="1:67" x14ac:dyDescent="0.25">
      <c r="A3" s="290" t="s">
        <v>120</v>
      </c>
      <c r="B3" s="174" t="s">
        <v>70</v>
      </c>
      <c r="C3" s="58">
        <v>3442457.9342999998</v>
      </c>
      <c r="D3" s="58">
        <v>1704386</v>
      </c>
      <c r="E3" s="58">
        <v>1057011.4983784549</v>
      </c>
      <c r="F3" s="58">
        <v>151994.77459023046</v>
      </c>
      <c r="G3" s="58">
        <v>107918247.90456118</v>
      </c>
      <c r="H3" s="58">
        <f t="shared" ref="H3:H10" si="0">G3+F3+E3+D3+C3</f>
        <v>114274098.11182986</v>
      </c>
      <c r="I3" s="58"/>
      <c r="J3" s="58">
        <v>469989.85377186537</v>
      </c>
      <c r="K3" s="58">
        <v>3117573.0343982745</v>
      </c>
      <c r="L3" s="58">
        <f>K3+J3</f>
        <v>3587562.8881701399</v>
      </c>
      <c r="M3" s="58">
        <f>L3+H3</f>
        <v>117861661</v>
      </c>
      <c r="N3" s="58"/>
      <c r="O3" s="58">
        <f>L3+N3</f>
        <v>3587562.8881701399</v>
      </c>
      <c r="P3" s="58"/>
      <c r="Q3" s="58"/>
      <c r="R3" s="58">
        <f t="shared" ref="R3:R33" si="1">O3+I3</f>
        <v>3587562.8881701399</v>
      </c>
      <c r="S3" s="175">
        <f t="shared" ref="S3:S33" si="2">+R3+H3</f>
        <v>117861661</v>
      </c>
      <c r="T3" s="185"/>
    </row>
    <row r="4" spans="1:67" s="59" customFormat="1" x14ac:dyDescent="0.25">
      <c r="A4" s="290" t="s">
        <v>121</v>
      </c>
      <c r="B4" s="174" t="s">
        <v>122</v>
      </c>
      <c r="C4" s="58"/>
      <c r="D4" s="58"/>
      <c r="E4" s="58"/>
      <c r="F4" s="58"/>
      <c r="G4" s="58">
        <v>1346990</v>
      </c>
      <c r="H4" s="58">
        <f t="shared" si="0"/>
        <v>1346990</v>
      </c>
      <c r="I4" s="58"/>
      <c r="J4" s="58"/>
      <c r="K4" s="58"/>
      <c r="L4" s="58"/>
      <c r="M4" s="58">
        <f>L4+H4</f>
        <v>1346990</v>
      </c>
      <c r="N4" s="58"/>
      <c r="O4" s="58">
        <f>L4+N4</f>
        <v>0</v>
      </c>
      <c r="P4" s="58">
        <f t="shared" ref="P4:P33" si="3">N4+I4</f>
        <v>0</v>
      </c>
      <c r="Q4" s="58">
        <f>O4+I4+H4</f>
        <v>1346990</v>
      </c>
      <c r="R4" s="58">
        <f t="shared" si="1"/>
        <v>0</v>
      </c>
      <c r="S4" s="175">
        <f t="shared" si="2"/>
        <v>1346990</v>
      </c>
      <c r="T4" s="185"/>
      <c r="U4" s="184"/>
      <c r="V4" s="184"/>
      <c r="W4" s="184"/>
      <c r="X4" s="184"/>
      <c r="Y4" s="184"/>
      <c r="Z4" s="184"/>
      <c r="AA4" s="184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</row>
    <row r="5" spans="1:67" s="59" customFormat="1" x14ac:dyDescent="0.25">
      <c r="A5" s="290" t="s">
        <v>123</v>
      </c>
      <c r="B5" s="174" t="s">
        <v>124</v>
      </c>
      <c r="C5" s="58"/>
      <c r="D5" s="58"/>
      <c r="E5" s="58"/>
      <c r="F5" s="58"/>
      <c r="G5" s="58">
        <v>0</v>
      </c>
      <c r="H5" s="58">
        <f t="shared" si="0"/>
        <v>0</v>
      </c>
      <c r="I5" s="58"/>
      <c r="J5" s="58"/>
      <c r="K5" s="58"/>
      <c r="L5" s="58"/>
      <c r="M5" s="58">
        <f t="shared" ref="M5:M9" si="4">L5+H5</f>
        <v>0</v>
      </c>
      <c r="N5" s="58">
        <v>4221992.4248603899</v>
      </c>
      <c r="O5" s="58">
        <f t="shared" ref="O5:O10" si="5">L5+N5</f>
        <v>4221992.4248603899</v>
      </c>
      <c r="P5" s="58">
        <f t="shared" si="3"/>
        <v>4221992.4248603899</v>
      </c>
      <c r="Q5" s="58">
        <f>O5+I5+H5</f>
        <v>4221992.4248603899</v>
      </c>
      <c r="R5" s="58">
        <f t="shared" si="1"/>
        <v>4221992.4248603899</v>
      </c>
      <c r="S5" s="175">
        <f t="shared" si="2"/>
        <v>4221992.4248603899</v>
      </c>
      <c r="T5" s="185"/>
      <c r="U5" s="184"/>
      <c r="V5" s="184"/>
      <c r="W5" s="184"/>
      <c r="X5" s="184"/>
      <c r="Y5" s="184"/>
      <c r="Z5" s="184"/>
      <c r="AA5" s="184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</row>
    <row r="6" spans="1:67" x14ac:dyDescent="0.25">
      <c r="A6" s="290" t="s">
        <v>125</v>
      </c>
      <c r="B6" s="174" t="s">
        <v>71</v>
      </c>
      <c r="C6" s="58">
        <v>109500.3559</v>
      </c>
      <c r="D6" s="58"/>
      <c r="E6" s="58"/>
      <c r="F6" s="58"/>
      <c r="G6" s="58">
        <v>3254602.0853497926</v>
      </c>
      <c r="H6" s="58">
        <f t="shared" si="0"/>
        <v>3364102.4412497925</v>
      </c>
      <c r="I6" s="58"/>
      <c r="J6" s="58">
        <v>3143.4686742806807</v>
      </c>
      <c r="K6" s="58">
        <v>346744.0900759268</v>
      </c>
      <c r="L6" s="58">
        <f>K6+J6</f>
        <v>349887.55875020748</v>
      </c>
      <c r="M6" s="58">
        <f t="shared" si="4"/>
        <v>3713990</v>
      </c>
      <c r="N6" s="58"/>
      <c r="O6" s="58">
        <f>L6+N6</f>
        <v>349887.55875020748</v>
      </c>
      <c r="P6" s="58">
        <f t="shared" si="3"/>
        <v>0</v>
      </c>
      <c r="Q6" s="58"/>
      <c r="R6" s="58">
        <f t="shared" si="1"/>
        <v>349887.55875020748</v>
      </c>
      <c r="S6" s="175">
        <f t="shared" si="2"/>
        <v>3713990</v>
      </c>
      <c r="T6" s="185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</row>
    <row r="7" spans="1:67" s="59" customFormat="1" x14ac:dyDescent="0.25">
      <c r="A7" s="290" t="s">
        <v>126</v>
      </c>
      <c r="B7" s="174" t="s">
        <v>127</v>
      </c>
      <c r="C7" s="58"/>
      <c r="D7" s="58"/>
      <c r="E7" s="58"/>
      <c r="F7" s="58"/>
      <c r="G7" s="58">
        <v>0</v>
      </c>
      <c r="H7" s="58">
        <f t="shared" si="0"/>
        <v>0</v>
      </c>
      <c r="I7" s="58">
        <v>1732675.5</v>
      </c>
      <c r="J7" s="58"/>
      <c r="K7" s="58"/>
      <c r="L7" s="58"/>
      <c r="M7" s="58">
        <f t="shared" si="4"/>
        <v>0</v>
      </c>
      <c r="N7" s="58">
        <v>996006.07493861998</v>
      </c>
      <c r="O7" s="58">
        <f>L7+N7</f>
        <v>996006.07493861998</v>
      </c>
      <c r="P7" s="58">
        <f t="shared" si="3"/>
        <v>2728681.57493862</v>
      </c>
      <c r="Q7" s="58">
        <f>O7+I7+H7</f>
        <v>2728681.57493862</v>
      </c>
      <c r="R7" s="58">
        <f t="shared" si="1"/>
        <v>2728681.57493862</v>
      </c>
      <c r="S7" s="175">
        <f t="shared" si="2"/>
        <v>2728681.57493862</v>
      </c>
      <c r="T7" s="185"/>
      <c r="U7" s="184"/>
      <c r="V7" s="184"/>
      <c r="W7" s="184"/>
      <c r="X7" s="184"/>
      <c r="Y7" s="184"/>
      <c r="Z7" s="184"/>
      <c r="AA7" s="184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</row>
    <row r="8" spans="1:67" x14ac:dyDescent="0.25">
      <c r="A8" s="290" t="s">
        <v>128</v>
      </c>
      <c r="B8" s="174" t="s">
        <v>72</v>
      </c>
      <c r="C8" s="58">
        <v>421803.14610000001</v>
      </c>
      <c r="D8" s="58"/>
      <c r="E8" s="58">
        <v>547318.02979494701</v>
      </c>
      <c r="F8" s="58">
        <v>24222.006877571792</v>
      </c>
      <c r="G8" s="58">
        <v>20012309.918962404</v>
      </c>
      <c r="H8" s="58">
        <f t="shared" si="0"/>
        <v>21005653.101734921</v>
      </c>
      <c r="I8" s="58"/>
      <c r="J8" s="58">
        <v>114107.03248468786</v>
      </c>
      <c r="K8" s="58">
        <v>1198211.865780391</v>
      </c>
      <c r="L8" s="58">
        <f>K8+J8</f>
        <v>1312318.8982650789</v>
      </c>
      <c r="M8" s="58">
        <f>L8+H8</f>
        <v>22317972</v>
      </c>
      <c r="N8" s="58"/>
      <c r="O8" s="58">
        <f>L8+N8</f>
        <v>1312318.8982650789</v>
      </c>
      <c r="P8" s="58">
        <f t="shared" si="3"/>
        <v>0</v>
      </c>
      <c r="Q8" s="58"/>
      <c r="R8" s="58">
        <f t="shared" si="1"/>
        <v>1312318.8982650789</v>
      </c>
      <c r="S8" s="175">
        <f t="shared" si="2"/>
        <v>22317972</v>
      </c>
      <c r="T8" s="185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</row>
    <row r="9" spans="1:67" s="59" customFormat="1" x14ac:dyDescent="0.25">
      <c r="A9" s="290" t="s">
        <v>129</v>
      </c>
      <c r="B9" s="174" t="s">
        <v>130</v>
      </c>
      <c r="C9" s="58"/>
      <c r="D9" s="58"/>
      <c r="E9" s="58"/>
      <c r="F9" s="58"/>
      <c r="G9" s="58">
        <v>0</v>
      </c>
      <c r="H9" s="58">
        <f t="shared" si="0"/>
        <v>0</v>
      </c>
      <c r="I9" s="58">
        <v>173267.55</v>
      </c>
      <c r="J9" s="58"/>
      <c r="K9" s="58"/>
      <c r="L9" s="58"/>
      <c r="M9" s="58">
        <f t="shared" si="4"/>
        <v>0</v>
      </c>
      <c r="N9" s="58">
        <v>978824.05692762497</v>
      </c>
      <c r="O9" s="58">
        <f>L9+N9</f>
        <v>978824.05692762497</v>
      </c>
      <c r="P9" s="58">
        <f t="shared" si="3"/>
        <v>1152091.6069276249</v>
      </c>
      <c r="Q9" s="58">
        <f>O9+I9+H9</f>
        <v>1152091.6069276249</v>
      </c>
      <c r="R9" s="58">
        <f t="shared" si="1"/>
        <v>1152091.6069276249</v>
      </c>
      <c r="S9" s="175">
        <f t="shared" si="2"/>
        <v>1152091.6069276249</v>
      </c>
      <c r="T9" s="185"/>
      <c r="U9" s="184"/>
      <c r="V9" s="184"/>
      <c r="W9" s="184"/>
      <c r="X9" s="184"/>
      <c r="Y9" s="184"/>
      <c r="Z9" s="184"/>
      <c r="AA9" s="184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</row>
    <row r="10" spans="1:67" x14ac:dyDescent="0.25">
      <c r="A10" s="290" t="s">
        <v>131</v>
      </c>
      <c r="B10" s="174" t="s">
        <v>73</v>
      </c>
      <c r="C10" s="58">
        <v>44059.314800000007</v>
      </c>
      <c r="D10" s="58"/>
      <c r="E10" s="58">
        <v>1605</v>
      </c>
      <c r="F10" s="58">
        <v>6316.2303266916842</v>
      </c>
      <c r="G10" s="58">
        <v>4921839.1600742331</v>
      </c>
      <c r="H10" s="58">
        <f t="shared" si="0"/>
        <v>4973819.7052009245</v>
      </c>
      <c r="I10" s="58"/>
      <c r="J10" s="58">
        <v>42497.770449955016</v>
      </c>
      <c r="K10" s="58">
        <v>2757211.5243491209</v>
      </c>
      <c r="L10" s="58">
        <f>K10+J10</f>
        <v>2799709.2947990759</v>
      </c>
      <c r="M10" s="58">
        <f>L10+H10</f>
        <v>7773529</v>
      </c>
      <c r="N10" s="58"/>
      <c r="O10" s="58">
        <f t="shared" si="5"/>
        <v>2799709.2947990759</v>
      </c>
      <c r="P10" s="58">
        <f t="shared" si="3"/>
        <v>0</v>
      </c>
      <c r="Q10" s="58">
        <f>O10+I10+H10</f>
        <v>7773529</v>
      </c>
      <c r="R10" s="58">
        <f t="shared" si="1"/>
        <v>2799709.2947990759</v>
      </c>
      <c r="S10" s="175">
        <f t="shared" si="2"/>
        <v>7773529</v>
      </c>
      <c r="T10" s="185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</row>
    <row r="11" spans="1:67" s="59" customFormat="1" x14ac:dyDescent="0.25">
      <c r="A11" s="290" t="s">
        <v>132</v>
      </c>
      <c r="B11" s="174" t="s">
        <v>133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>
        <v>98950</v>
      </c>
      <c r="O11" s="58">
        <f>N11+L12</f>
        <v>98950</v>
      </c>
      <c r="P11" s="58">
        <f t="shared" si="3"/>
        <v>98950</v>
      </c>
      <c r="Q11" s="58">
        <f>O11+I11+H11</f>
        <v>98950</v>
      </c>
      <c r="R11" s="58">
        <f t="shared" si="1"/>
        <v>98950</v>
      </c>
      <c r="S11" s="175"/>
      <c r="T11" s="185"/>
      <c r="U11" s="184"/>
      <c r="V11" s="184"/>
      <c r="W11" s="184"/>
      <c r="X11" s="184"/>
      <c r="Y11" s="184"/>
      <c r="Z11" s="184"/>
      <c r="AA11" s="184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</row>
    <row r="12" spans="1:67" x14ac:dyDescent="0.25">
      <c r="A12" s="290" t="s">
        <v>132</v>
      </c>
      <c r="B12" s="174" t="s">
        <v>134</v>
      </c>
      <c r="C12" s="58">
        <v>0</v>
      </c>
      <c r="D12" s="58"/>
      <c r="E12" s="58">
        <v>0</v>
      </c>
      <c r="F12" s="58">
        <v>0</v>
      </c>
      <c r="G12" s="58">
        <v>1050272</v>
      </c>
      <c r="H12" s="58">
        <f>G12+F12+E12+D12+C12</f>
        <v>1050272</v>
      </c>
      <c r="I12" s="58"/>
      <c r="J12" s="58">
        <v>0</v>
      </c>
      <c r="K12" s="58">
        <v>0</v>
      </c>
      <c r="L12" s="58"/>
      <c r="M12" s="58">
        <f t="shared" ref="M12:M23" si="6">L12+H12</f>
        <v>1050272</v>
      </c>
      <c r="N12" s="58"/>
      <c r="O12" s="58">
        <f t="shared" ref="O12:O34" si="7">L12+N12</f>
        <v>0</v>
      </c>
      <c r="P12" s="58">
        <f t="shared" si="3"/>
        <v>0</v>
      </c>
      <c r="Q12" s="58"/>
      <c r="R12" s="58">
        <f t="shared" si="1"/>
        <v>0</v>
      </c>
      <c r="S12" s="175">
        <f>+R11+H12</f>
        <v>1149222</v>
      </c>
      <c r="T12" s="185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</row>
    <row r="13" spans="1:67" s="59" customFormat="1" x14ac:dyDescent="0.25">
      <c r="A13" s="290" t="s">
        <v>135</v>
      </c>
      <c r="B13" s="174" t="s">
        <v>136</v>
      </c>
      <c r="C13" s="58"/>
      <c r="D13" s="58"/>
      <c r="E13" s="58"/>
      <c r="F13" s="58"/>
      <c r="G13" s="58">
        <v>0</v>
      </c>
      <c r="H13" s="58">
        <v>0</v>
      </c>
      <c r="I13" s="58">
        <v>173267.55</v>
      </c>
      <c r="J13" s="58"/>
      <c r="K13" s="58"/>
      <c r="L13" s="58"/>
      <c r="M13" s="58">
        <f t="shared" si="6"/>
        <v>0</v>
      </c>
      <c r="N13" s="58">
        <v>12745020.882100999</v>
      </c>
      <c r="O13" s="58">
        <f t="shared" si="7"/>
        <v>12745020.882100999</v>
      </c>
      <c r="P13" s="58">
        <f t="shared" si="3"/>
        <v>12918288.432101</v>
      </c>
      <c r="Q13" s="58">
        <f>O13+I13+H13</f>
        <v>12918288.432101</v>
      </c>
      <c r="R13" s="58">
        <f t="shared" si="1"/>
        <v>12918288.432101</v>
      </c>
      <c r="S13" s="175">
        <f t="shared" si="2"/>
        <v>12918288.432101</v>
      </c>
      <c r="T13" s="185"/>
      <c r="U13" s="184"/>
      <c r="V13" s="184"/>
      <c r="W13" s="184"/>
      <c r="X13" s="184"/>
      <c r="Y13" s="184"/>
      <c r="Z13" s="184"/>
      <c r="AA13" s="184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</row>
    <row r="14" spans="1:67" s="59" customFormat="1" x14ac:dyDescent="0.25">
      <c r="A14" s="290" t="s">
        <v>137</v>
      </c>
      <c r="B14" s="174" t="s">
        <v>138</v>
      </c>
      <c r="C14" s="58"/>
      <c r="D14" s="58"/>
      <c r="E14" s="58"/>
      <c r="F14" s="58"/>
      <c r="G14" s="58">
        <v>0</v>
      </c>
      <c r="H14" s="58">
        <v>0</v>
      </c>
      <c r="I14" s="58">
        <v>693070.2</v>
      </c>
      <c r="J14" s="58">
        <v>0</v>
      </c>
      <c r="K14" s="58"/>
      <c r="L14" s="58"/>
      <c r="M14" s="58">
        <f t="shared" si="6"/>
        <v>0</v>
      </c>
      <c r="N14" s="58">
        <v>9624327.1216921005</v>
      </c>
      <c r="O14" s="58">
        <f t="shared" si="7"/>
        <v>9624327.1216921005</v>
      </c>
      <c r="P14" s="58">
        <f t="shared" si="3"/>
        <v>10317397.3216921</v>
      </c>
      <c r="Q14" s="58">
        <f>O14+I14+H14</f>
        <v>10317397.3216921</v>
      </c>
      <c r="R14" s="58">
        <f t="shared" si="1"/>
        <v>10317397.3216921</v>
      </c>
      <c r="S14" s="175">
        <f t="shared" si="2"/>
        <v>10317397.3216921</v>
      </c>
      <c r="T14" s="185"/>
      <c r="U14" s="184"/>
      <c r="V14" s="184"/>
      <c r="W14" s="184"/>
      <c r="X14" s="184"/>
      <c r="Y14" s="184"/>
      <c r="Z14" s="184"/>
      <c r="AA14" s="184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</row>
    <row r="15" spans="1:67" x14ac:dyDescent="0.25">
      <c r="A15" s="290" t="s">
        <v>137</v>
      </c>
      <c r="B15" s="174" t="s">
        <v>75</v>
      </c>
      <c r="C15" s="58">
        <v>5831.3798999999999</v>
      </c>
      <c r="D15" s="58"/>
      <c r="E15" s="58">
        <v>3114.7402558841386</v>
      </c>
      <c r="F15" s="58">
        <v>9437.3113858171346</v>
      </c>
      <c r="G15" s="58">
        <v>4793022.7399546439</v>
      </c>
      <c r="H15" s="58">
        <f>G15+F15+E15+D15+C15</f>
        <v>4811406.1714963447</v>
      </c>
      <c r="I15" s="58"/>
      <c r="J15" s="58">
        <v>0</v>
      </c>
      <c r="K15" s="58">
        <v>65824.74943969649</v>
      </c>
      <c r="L15" s="58">
        <f t="shared" ref="L15:L25" si="8">K15+J15</f>
        <v>65824.74943969649</v>
      </c>
      <c r="M15" s="58">
        <f t="shared" si="6"/>
        <v>4877230.9209360415</v>
      </c>
      <c r="N15" s="58"/>
      <c r="O15" s="58">
        <f t="shared" si="7"/>
        <v>65824.74943969649</v>
      </c>
      <c r="P15" s="58">
        <f t="shared" si="3"/>
        <v>0</v>
      </c>
      <c r="Q15" s="58"/>
      <c r="R15" s="58">
        <f t="shared" si="1"/>
        <v>65824.74943969649</v>
      </c>
      <c r="S15" s="175">
        <f t="shared" si="2"/>
        <v>4877230.9209360415</v>
      </c>
      <c r="T15" s="185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</row>
    <row r="16" spans="1:67" s="59" customFormat="1" x14ac:dyDescent="0.25">
      <c r="A16" s="290" t="s">
        <v>139</v>
      </c>
      <c r="B16" s="174" t="s">
        <v>140</v>
      </c>
      <c r="C16" s="58"/>
      <c r="D16" s="58"/>
      <c r="E16" s="58"/>
      <c r="F16" s="58"/>
      <c r="G16" s="58">
        <v>0</v>
      </c>
      <c r="H16" s="58">
        <v>0</v>
      </c>
      <c r="I16" s="58"/>
      <c r="J16" s="58"/>
      <c r="K16" s="58"/>
      <c r="L16" s="58"/>
      <c r="M16" s="58">
        <f t="shared" si="6"/>
        <v>0</v>
      </c>
      <c r="N16" s="58">
        <v>2595320.017401</v>
      </c>
      <c r="O16" s="58">
        <f t="shared" si="7"/>
        <v>2595320.017401</v>
      </c>
      <c r="P16" s="58">
        <f t="shared" si="3"/>
        <v>2595320.017401</v>
      </c>
      <c r="Q16" s="58">
        <f>O16+I16+H16</f>
        <v>2595320.017401</v>
      </c>
      <c r="R16" s="58">
        <f t="shared" si="1"/>
        <v>2595320.017401</v>
      </c>
      <c r="S16" s="175">
        <f t="shared" si="2"/>
        <v>2595320.017401</v>
      </c>
      <c r="T16" s="185"/>
      <c r="U16" s="184"/>
      <c r="V16" s="184"/>
      <c r="W16" s="184"/>
      <c r="X16" s="184"/>
      <c r="Y16" s="184"/>
      <c r="Z16" s="184"/>
      <c r="AA16" s="184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</row>
    <row r="17" spans="1:67" x14ac:dyDescent="0.25">
      <c r="A17" s="290" t="s">
        <v>141</v>
      </c>
      <c r="B17" s="174" t="s">
        <v>76</v>
      </c>
      <c r="C17" s="58">
        <v>647.93110000000001</v>
      </c>
      <c r="D17" s="58"/>
      <c r="E17" s="58"/>
      <c r="F17" s="58">
        <v>8328.8423353585058</v>
      </c>
      <c r="G17" s="58">
        <v>471458.79937455885</v>
      </c>
      <c r="H17" s="58">
        <f t="shared" ref="H17:H22" si="9">G17+F17+E17+D17+C17</f>
        <v>480435.57280991733</v>
      </c>
      <c r="I17" s="58"/>
      <c r="J17" s="58"/>
      <c r="K17" s="58">
        <v>59539.290240451264</v>
      </c>
      <c r="L17" s="58">
        <f>K17+J17</f>
        <v>59539.290240451264</v>
      </c>
      <c r="M17" s="58">
        <f t="shared" si="6"/>
        <v>539974.86305036861</v>
      </c>
      <c r="N17" s="58"/>
      <c r="O17" s="58">
        <f t="shared" si="7"/>
        <v>59539.290240451264</v>
      </c>
      <c r="P17" s="58">
        <f t="shared" si="3"/>
        <v>0</v>
      </c>
      <c r="Q17" s="58"/>
      <c r="R17" s="58">
        <f t="shared" si="1"/>
        <v>59539.290240451264</v>
      </c>
      <c r="S17" s="175">
        <f t="shared" si="2"/>
        <v>539974.86305036861</v>
      </c>
      <c r="T17" s="185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</row>
    <row r="18" spans="1:67" x14ac:dyDescent="0.25">
      <c r="A18" s="290" t="s">
        <v>142</v>
      </c>
      <c r="B18" s="174" t="s">
        <v>77</v>
      </c>
      <c r="C18" s="58">
        <v>108852.42480000001</v>
      </c>
      <c r="D18" s="58">
        <v>852192.36</v>
      </c>
      <c r="E18" s="58">
        <v>58358.223758137647</v>
      </c>
      <c r="F18" s="58">
        <v>1617679.4699018425</v>
      </c>
      <c r="G18" s="58">
        <v>37620494.207963169</v>
      </c>
      <c r="H18" s="58">
        <f t="shared" si="9"/>
        <v>40257576.686423153</v>
      </c>
      <c r="I18" s="58"/>
      <c r="J18" s="58">
        <v>19938.87461921107</v>
      </c>
      <c r="K18" s="58">
        <v>2293016.2025174182</v>
      </c>
      <c r="L18" s="58">
        <f t="shared" si="8"/>
        <v>2312955.0771366293</v>
      </c>
      <c r="M18" s="58">
        <f t="shared" si="6"/>
        <v>42570531.763559781</v>
      </c>
      <c r="N18" s="58"/>
      <c r="O18" s="58">
        <f t="shared" si="7"/>
        <v>2312955.0771366293</v>
      </c>
      <c r="P18" s="58">
        <f t="shared" si="3"/>
        <v>0</v>
      </c>
      <c r="Q18" s="58"/>
      <c r="R18" s="58">
        <f t="shared" si="1"/>
        <v>2312955.0771366293</v>
      </c>
      <c r="S18" s="175">
        <f t="shared" si="2"/>
        <v>42570531.763559781</v>
      </c>
      <c r="T18" s="185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</row>
    <row r="19" spans="1:67" x14ac:dyDescent="0.25">
      <c r="A19" s="290" t="s">
        <v>143</v>
      </c>
      <c r="B19" s="174" t="s">
        <v>78</v>
      </c>
      <c r="C19" s="58">
        <v>22029.657400000004</v>
      </c>
      <c r="D19" s="58"/>
      <c r="E19" s="58">
        <v>8128.3462581265594</v>
      </c>
      <c r="F19" s="58">
        <v>258245.19391917632</v>
      </c>
      <c r="G19" s="58">
        <v>4111724.9068343998</v>
      </c>
      <c r="H19" s="58">
        <f t="shared" si="9"/>
        <v>4400128.1044117026</v>
      </c>
      <c r="I19" s="58"/>
      <c r="J19" s="58"/>
      <c r="K19" s="58">
        <v>383667.26359355741</v>
      </c>
      <c r="L19" s="58">
        <f t="shared" si="8"/>
        <v>383667.26359355741</v>
      </c>
      <c r="M19" s="58">
        <f t="shared" si="6"/>
        <v>4783795.3680052599</v>
      </c>
      <c r="N19" s="58"/>
      <c r="O19" s="58">
        <f t="shared" si="7"/>
        <v>383667.26359355741</v>
      </c>
      <c r="P19" s="58">
        <f t="shared" si="3"/>
        <v>0</v>
      </c>
      <c r="Q19" s="58"/>
      <c r="R19" s="58">
        <f t="shared" si="1"/>
        <v>383667.26359355741</v>
      </c>
      <c r="S19" s="175">
        <f t="shared" si="2"/>
        <v>4783795.3680052599</v>
      </c>
      <c r="T19" s="185"/>
    </row>
    <row r="20" spans="1:67" x14ac:dyDescent="0.25">
      <c r="A20" s="290" t="s">
        <v>144</v>
      </c>
      <c r="B20" s="174" t="s">
        <v>79</v>
      </c>
      <c r="C20" s="58">
        <v>0</v>
      </c>
      <c r="D20" s="58"/>
      <c r="E20" s="58">
        <v>0</v>
      </c>
      <c r="F20" s="58">
        <v>5591.7240579203381</v>
      </c>
      <c r="G20" s="58">
        <v>244061.52249999999</v>
      </c>
      <c r="H20" s="58">
        <f t="shared" si="9"/>
        <v>249653.24655792033</v>
      </c>
      <c r="I20" s="58"/>
      <c r="J20" s="58"/>
      <c r="K20" s="58">
        <v>25511.991163228973</v>
      </c>
      <c r="L20" s="58">
        <f t="shared" si="8"/>
        <v>25511.991163228973</v>
      </c>
      <c r="M20" s="58">
        <f t="shared" si="6"/>
        <v>275165.23772114929</v>
      </c>
      <c r="N20" s="58"/>
      <c r="O20" s="58">
        <f t="shared" si="7"/>
        <v>25511.991163228973</v>
      </c>
      <c r="P20" s="58">
        <f t="shared" si="3"/>
        <v>0</v>
      </c>
      <c r="Q20" s="58"/>
      <c r="R20" s="58">
        <f t="shared" si="1"/>
        <v>25511.991163228973</v>
      </c>
      <c r="S20" s="175">
        <f t="shared" si="2"/>
        <v>275165.23772114929</v>
      </c>
      <c r="T20" s="185"/>
    </row>
    <row r="21" spans="1:67" s="200" customFormat="1" x14ac:dyDescent="0.25">
      <c r="A21" s="290" t="s">
        <v>145</v>
      </c>
      <c r="B21" s="204" t="s">
        <v>80</v>
      </c>
      <c r="C21" s="205">
        <v>1295.8622</v>
      </c>
      <c r="D21" s="205"/>
      <c r="E21" s="205">
        <v>1604</v>
      </c>
      <c r="F21" s="205"/>
      <c r="G21" s="205">
        <v>59666.368453734663</v>
      </c>
      <c r="H21" s="205">
        <f t="shared" si="9"/>
        <v>62566.230653734667</v>
      </c>
      <c r="I21" s="205"/>
      <c r="J21" s="205"/>
      <c r="K21" s="205"/>
      <c r="L21" s="205">
        <f t="shared" si="8"/>
        <v>0</v>
      </c>
      <c r="M21" s="205">
        <f t="shared" si="6"/>
        <v>62566.230653734667</v>
      </c>
      <c r="N21" s="205"/>
      <c r="O21" s="205">
        <f t="shared" si="7"/>
        <v>0</v>
      </c>
      <c r="P21" s="205">
        <f t="shared" si="3"/>
        <v>0</v>
      </c>
      <c r="Q21" s="205"/>
      <c r="R21" s="205">
        <f t="shared" si="1"/>
        <v>0</v>
      </c>
      <c r="S21" s="206">
        <f t="shared" si="2"/>
        <v>62566.230653734667</v>
      </c>
      <c r="T21" s="207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</row>
    <row r="22" spans="1:67" s="200" customFormat="1" x14ac:dyDescent="0.25">
      <c r="A22" s="290" t="s">
        <v>146</v>
      </c>
      <c r="B22" s="204" t="s">
        <v>147</v>
      </c>
      <c r="C22" s="205">
        <v>7775.1731999999993</v>
      </c>
      <c r="D22" s="205"/>
      <c r="E22" s="205">
        <v>84300.632660459392</v>
      </c>
      <c r="F22" s="205">
        <v>99513.617795705315</v>
      </c>
      <c r="G22" s="205">
        <v>2024075.9924567153</v>
      </c>
      <c r="H22" s="205">
        <f t="shared" si="9"/>
        <v>2215665.4161128798</v>
      </c>
      <c r="I22" s="205"/>
      <c r="J22" s="205"/>
      <c r="K22" s="205">
        <v>49933.165199686002</v>
      </c>
      <c r="L22" s="205">
        <f t="shared" si="8"/>
        <v>49933.165199686002</v>
      </c>
      <c r="M22" s="205">
        <f t="shared" si="6"/>
        <v>2265598.5813125656</v>
      </c>
      <c r="N22" s="205"/>
      <c r="O22" s="205">
        <f t="shared" si="7"/>
        <v>49933.165199686002</v>
      </c>
      <c r="P22" s="205">
        <f t="shared" si="3"/>
        <v>0</v>
      </c>
      <c r="Q22" s="205"/>
      <c r="R22" s="205">
        <f t="shared" si="1"/>
        <v>49933.165199686002</v>
      </c>
      <c r="S22" s="206">
        <f t="shared" si="2"/>
        <v>2265598.5813125656</v>
      </c>
      <c r="T22" s="207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</row>
    <row r="23" spans="1:67" s="200" customFormat="1" x14ac:dyDescent="0.25">
      <c r="A23" s="290" t="s">
        <v>148</v>
      </c>
      <c r="B23" s="204" t="s">
        <v>149</v>
      </c>
      <c r="C23" s="205"/>
      <c r="D23" s="205"/>
      <c r="E23" s="205">
        <v>0</v>
      </c>
      <c r="F23" s="205"/>
      <c r="G23" s="205">
        <v>0</v>
      </c>
      <c r="H23" s="205"/>
      <c r="I23" s="205"/>
      <c r="J23" s="205"/>
      <c r="K23" s="205"/>
      <c r="L23" s="205"/>
      <c r="M23" s="205">
        <f t="shared" si="6"/>
        <v>0</v>
      </c>
      <c r="N23" s="205">
        <v>13643201.1783193</v>
      </c>
      <c r="O23" s="205">
        <f t="shared" si="7"/>
        <v>13643201.1783193</v>
      </c>
      <c r="P23" s="205">
        <f t="shared" si="3"/>
        <v>13643201.1783193</v>
      </c>
      <c r="Q23" s="205">
        <f>O23+I23+H23</f>
        <v>13643201.1783193</v>
      </c>
      <c r="R23" s="205">
        <f t="shared" si="1"/>
        <v>13643201.1783193</v>
      </c>
      <c r="S23" s="206">
        <f t="shared" si="2"/>
        <v>13643201.1783193</v>
      </c>
      <c r="T23" s="207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</row>
    <row r="24" spans="1:67" s="200" customFormat="1" x14ac:dyDescent="0.25">
      <c r="A24" s="290" t="s">
        <v>150</v>
      </c>
      <c r="B24" s="204" t="s">
        <v>82</v>
      </c>
      <c r="C24" s="205">
        <v>18142.070800000001</v>
      </c>
      <c r="D24" s="205"/>
      <c r="E24" s="205">
        <v>18277.520983474333</v>
      </c>
      <c r="F24" s="205">
        <v>1762.3125456600337</v>
      </c>
      <c r="G24" s="205">
        <v>492657.71921257483</v>
      </c>
      <c r="H24" s="205">
        <f>G24+F24+E24+D24+C24</f>
        <v>530839.62354170915</v>
      </c>
      <c r="I24" s="205"/>
      <c r="J24" s="205"/>
      <c r="K24" s="205">
        <v>833709.84982682625</v>
      </c>
      <c r="L24" s="205">
        <f t="shared" si="8"/>
        <v>833709.84982682625</v>
      </c>
      <c r="M24" s="205">
        <f>L24+H24</f>
        <v>1364549.4733685353</v>
      </c>
      <c r="N24" s="205"/>
      <c r="O24" s="205">
        <f t="shared" si="7"/>
        <v>833709.84982682625</v>
      </c>
      <c r="P24" s="205">
        <f t="shared" si="3"/>
        <v>0</v>
      </c>
      <c r="Q24" s="205"/>
      <c r="R24" s="205">
        <f t="shared" si="1"/>
        <v>833709.84982682625</v>
      </c>
      <c r="S24" s="206">
        <f t="shared" si="2"/>
        <v>1364549.4733685353</v>
      </c>
      <c r="T24" s="207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</row>
    <row r="25" spans="1:67" s="200" customFormat="1" x14ac:dyDescent="0.25">
      <c r="A25" s="290" t="s">
        <v>151</v>
      </c>
      <c r="B25" s="204" t="s">
        <v>83</v>
      </c>
      <c r="C25" s="205">
        <v>0</v>
      </c>
      <c r="D25" s="205"/>
      <c r="E25" s="205">
        <v>0</v>
      </c>
      <c r="F25" s="205">
        <v>0</v>
      </c>
      <c r="G25" s="205">
        <v>67879.517872844037</v>
      </c>
      <c r="H25" s="205">
        <f>G25+F25+E25+D25+C25</f>
        <v>67879.517872844037</v>
      </c>
      <c r="I25" s="205"/>
      <c r="J25" s="205"/>
      <c r="K25" s="205">
        <v>44832.539629899467</v>
      </c>
      <c r="L25" s="205">
        <f t="shared" si="8"/>
        <v>44832.539629899467</v>
      </c>
      <c r="M25" s="205">
        <f>L25+H25</f>
        <v>112712.0575027435</v>
      </c>
      <c r="N25" s="205"/>
      <c r="O25" s="205">
        <f t="shared" si="7"/>
        <v>44832.539629899467</v>
      </c>
      <c r="P25" s="205">
        <f t="shared" si="3"/>
        <v>0</v>
      </c>
      <c r="Q25" s="205"/>
      <c r="R25" s="205">
        <f t="shared" si="1"/>
        <v>44832.539629899467</v>
      </c>
      <c r="S25" s="206">
        <f t="shared" si="2"/>
        <v>112712.0575027435</v>
      </c>
      <c r="T25" s="207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</row>
    <row r="26" spans="1:67" s="200" customFormat="1" x14ac:dyDescent="0.25">
      <c r="A26" s="290" t="s">
        <v>152</v>
      </c>
      <c r="B26" s="204" t="s">
        <v>153</v>
      </c>
      <c r="C26" s="205"/>
      <c r="D26" s="205"/>
      <c r="E26" s="205">
        <v>0</v>
      </c>
      <c r="F26" s="205"/>
      <c r="G26" s="205">
        <v>23249042</v>
      </c>
      <c r="H26" s="205">
        <f>G26+F26+E26+D26+C26</f>
        <v>23249042</v>
      </c>
      <c r="I26" s="205"/>
      <c r="J26" s="205"/>
      <c r="K26" s="205"/>
      <c r="L26" s="205"/>
      <c r="M26" s="205">
        <f>L26+H26</f>
        <v>23249042</v>
      </c>
      <c r="N26" s="205">
        <v>95211246.552800819</v>
      </c>
      <c r="O26" s="205">
        <f t="shared" si="7"/>
        <v>95211246.552800819</v>
      </c>
      <c r="P26" s="205">
        <f t="shared" si="3"/>
        <v>95211246.552800819</v>
      </c>
      <c r="Q26" s="205">
        <f>O26+I26+H26</f>
        <v>118460288.55280082</v>
      </c>
      <c r="R26" s="205">
        <f t="shared" si="1"/>
        <v>95211246.552800819</v>
      </c>
      <c r="S26" s="206">
        <f t="shared" si="2"/>
        <v>118460288.55280082</v>
      </c>
      <c r="T26" s="207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</row>
    <row r="27" spans="1:67" s="200" customFormat="1" x14ac:dyDescent="0.25">
      <c r="A27" s="290" t="s">
        <v>154</v>
      </c>
      <c r="B27" s="204" t="s">
        <v>155</v>
      </c>
      <c r="C27" s="205">
        <v>382991.17800000112</v>
      </c>
      <c r="D27" s="205"/>
      <c r="E27" s="205">
        <v>158082.44973387872</v>
      </c>
      <c r="F27" s="205">
        <v>218435.66027904916</v>
      </c>
      <c r="G27" s="205">
        <v>21651010.897484958</v>
      </c>
      <c r="H27" s="205">
        <f>G27+F27+E27+D27+C27</f>
        <v>22410520.185497887</v>
      </c>
      <c r="I27" s="205"/>
      <c r="J27" s="205"/>
      <c r="K27" s="205">
        <v>7895979.3102458678</v>
      </c>
      <c r="L27" s="205">
        <f>K27+J27</f>
        <v>7895979.3102458678</v>
      </c>
      <c r="M27" s="205">
        <f t="shared" ref="M27:M33" si="10">L27+H27</f>
        <v>30306499.495743755</v>
      </c>
      <c r="N27" s="205"/>
      <c r="O27" s="205">
        <f t="shared" si="7"/>
        <v>7895979.3102458678</v>
      </c>
      <c r="P27" s="205">
        <f t="shared" si="3"/>
        <v>0</v>
      </c>
      <c r="Q27" s="205"/>
      <c r="R27" s="205">
        <f t="shared" si="1"/>
        <v>7895979.3102458678</v>
      </c>
      <c r="S27" s="206">
        <f t="shared" si="2"/>
        <v>30306499.495743755</v>
      </c>
      <c r="T27" s="207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</row>
    <row r="28" spans="1:67" s="200" customFormat="1" x14ac:dyDescent="0.25">
      <c r="A28" s="290" t="s">
        <v>156</v>
      </c>
      <c r="B28" s="204" t="s">
        <v>157</v>
      </c>
      <c r="C28" s="205">
        <v>1266705.3005000001</v>
      </c>
      <c r="D28" s="205"/>
      <c r="E28" s="205">
        <v>1409265.0004431661</v>
      </c>
      <c r="F28" s="205">
        <v>1555474.8559849767</v>
      </c>
      <c r="G28" s="205">
        <v>4257533.2589447508</v>
      </c>
      <c r="H28" s="205">
        <f>G28+F28+E28+D28+C28</f>
        <v>8488978.4158728942</v>
      </c>
      <c r="I28" s="205">
        <v>519802.65</v>
      </c>
      <c r="J28" s="205"/>
      <c r="K28" s="205">
        <v>3079935.1235396541</v>
      </c>
      <c r="L28" s="205">
        <f>K28+J28</f>
        <v>3079935.1235396541</v>
      </c>
      <c r="M28" s="205">
        <f t="shared" si="10"/>
        <v>11568913.539412549</v>
      </c>
      <c r="N28" s="205"/>
      <c r="O28" s="205">
        <f t="shared" si="7"/>
        <v>3079935.1235396541</v>
      </c>
      <c r="P28" s="205">
        <f t="shared" si="3"/>
        <v>519802.65</v>
      </c>
      <c r="Q28" s="205"/>
      <c r="R28" s="205">
        <f t="shared" si="1"/>
        <v>3599737.773539654</v>
      </c>
      <c r="S28" s="206">
        <f t="shared" si="2"/>
        <v>12088716.189412549</v>
      </c>
      <c r="T28" s="207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</row>
    <row r="29" spans="1:67" s="200" customFormat="1" x14ac:dyDescent="0.25">
      <c r="A29" s="290" t="s">
        <v>158</v>
      </c>
      <c r="B29" s="204" t="s">
        <v>159</v>
      </c>
      <c r="C29" s="205"/>
      <c r="D29" s="205"/>
      <c r="E29" s="205"/>
      <c r="F29" s="205"/>
      <c r="G29" s="205"/>
      <c r="H29" s="205">
        <v>0</v>
      </c>
      <c r="I29" s="205">
        <v>3617580</v>
      </c>
      <c r="J29" s="205"/>
      <c r="K29" s="205"/>
      <c r="L29" s="205"/>
      <c r="M29" s="205">
        <f t="shared" si="10"/>
        <v>0</v>
      </c>
      <c r="N29" s="205">
        <v>2895875.69095917</v>
      </c>
      <c r="O29" s="205">
        <f t="shared" si="7"/>
        <v>2895875.69095917</v>
      </c>
      <c r="P29" s="205">
        <f t="shared" si="3"/>
        <v>6513455.6909591705</v>
      </c>
      <c r="Q29" s="205">
        <f>O29+I29+H29</f>
        <v>6513455.6909591705</v>
      </c>
      <c r="R29" s="205">
        <f t="shared" si="1"/>
        <v>6513455.6909591705</v>
      </c>
      <c r="S29" s="206">
        <f t="shared" si="2"/>
        <v>6513455.6909591705</v>
      </c>
      <c r="T29" s="207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</row>
    <row r="30" spans="1:67" s="200" customFormat="1" x14ac:dyDescent="0.25">
      <c r="A30" s="290" t="s">
        <v>160</v>
      </c>
      <c r="B30" s="204" t="s">
        <v>161</v>
      </c>
      <c r="C30" s="205"/>
      <c r="D30" s="205"/>
      <c r="E30" s="205">
        <v>0</v>
      </c>
      <c r="F30" s="205"/>
      <c r="G30" s="205"/>
      <c r="H30" s="205"/>
      <c r="I30" s="205"/>
      <c r="J30" s="205"/>
      <c r="K30" s="205"/>
      <c r="L30" s="205">
        <f>K30+J30</f>
        <v>0</v>
      </c>
      <c r="M30" s="205">
        <f t="shared" si="10"/>
        <v>0</v>
      </c>
      <c r="N30" s="205"/>
      <c r="O30" s="205">
        <f t="shared" si="7"/>
        <v>0</v>
      </c>
      <c r="P30" s="205">
        <f t="shared" si="3"/>
        <v>0</v>
      </c>
      <c r="Q30" s="205">
        <f>O30+I30+H30</f>
        <v>0</v>
      </c>
      <c r="R30" s="205">
        <f t="shared" si="1"/>
        <v>0</v>
      </c>
      <c r="S30" s="206">
        <f t="shared" si="2"/>
        <v>0</v>
      </c>
      <c r="T30" s="207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</row>
    <row r="31" spans="1:67" s="200" customFormat="1" x14ac:dyDescent="0.25">
      <c r="A31" s="290" t="s">
        <v>162</v>
      </c>
      <c r="B31" s="204" t="s">
        <v>163</v>
      </c>
      <c r="C31" s="205">
        <v>647219.27099999995</v>
      </c>
      <c r="D31" s="205"/>
      <c r="E31" s="205"/>
      <c r="F31" s="205"/>
      <c r="G31" s="205">
        <v>3435084</v>
      </c>
      <c r="H31" s="205">
        <f>G31+F31+E31+D31+C31</f>
        <v>4082303.2709999997</v>
      </c>
      <c r="I31" s="205"/>
      <c r="J31" s="205"/>
      <c r="K31" s="205"/>
      <c r="L31" s="205"/>
      <c r="M31" s="205">
        <f t="shared" si="10"/>
        <v>4082303.2709999997</v>
      </c>
      <c r="N31" s="205"/>
      <c r="O31" s="205">
        <f t="shared" si="7"/>
        <v>0</v>
      </c>
      <c r="P31" s="205">
        <f t="shared" si="3"/>
        <v>0</v>
      </c>
      <c r="Q31" s="205"/>
      <c r="R31" s="205">
        <f t="shared" si="1"/>
        <v>0</v>
      </c>
      <c r="S31" s="206">
        <f t="shared" si="2"/>
        <v>4082303.2709999997</v>
      </c>
      <c r="T31" s="207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</row>
    <row r="32" spans="1:67" s="200" customFormat="1" x14ac:dyDescent="0.25">
      <c r="A32" s="290" t="s">
        <v>164</v>
      </c>
      <c r="B32" s="204" t="s">
        <v>165</v>
      </c>
      <c r="C32" s="205">
        <v>300000</v>
      </c>
      <c r="D32" s="205"/>
      <c r="E32" s="205"/>
      <c r="F32" s="205"/>
      <c r="G32" s="205">
        <v>582250</v>
      </c>
      <c r="H32" s="205">
        <f>G32+F32+E32+D32+C32</f>
        <v>882250</v>
      </c>
      <c r="I32" s="205"/>
      <c r="J32" s="205"/>
      <c r="K32" s="205"/>
      <c r="L32" s="205"/>
      <c r="M32" s="205">
        <f t="shared" si="10"/>
        <v>882250</v>
      </c>
      <c r="N32" s="205"/>
      <c r="O32" s="205">
        <f t="shared" si="7"/>
        <v>0</v>
      </c>
      <c r="P32" s="205">
        <f t="shared" si="3"/>
        <v>0</v>
      </c>
      <c r="Q32" s="205">
        <f>O32+I32+H32</f>
        <v>882250</v>
      </c>
      <c r="R32" s="205">
        <f t="shared" si="1"/>
        <v>0</v>
      </c>
      <c r="S32" s="206">
        <f t="shared" si="2"/>
        <v>882250</v>
      </c>
      <c r="T32" s="207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</row>
    <row r="33" spans="1:53" s="200" customFormat="1" x14ac:dyDescent="0.25">
      <c r="A33" s="290" t="s">
        <v>166</v>
      </c>
      <c r="B33" s="204" t="s">
        <v>167</v>
      </c>
      <c r="C33" s="205"/>
      <c r="D33" s="205"/>
      <c r="E33" s="205"/>
      <c r="F33" s="205"/>
      <c r="G33" s="205">
        <v>1504501</v>
      </c>
      <c r="H33" s="205">
        <f>G33+F33+E33+D33+C33</f>
        <v>1504501</v>
      </c>
      <c r="I33" s="205">
        <v>173267.55000000028</v>
      </c>
      <c r="J33" s="205"/>
      <c r="K33" s="205"/>
      <c r="L33" s="205"/>
      <c r="M33" s="205">
        <f t="shared" si="10"/>
        <v>1504501</v>
      </c>
      <c r="N33" s="205"/>
      <c r="O33" s="205">
        <f t="shared" si="7"/>
        <v>0</v>
      </c>
      <c r="P33" s="205">
        <f t="shared" si="3"/>
        <v>173267.55000000028</v>
      </c>
      <c r="Q33" s="205">
        <f>O33+I33+H33</f>
        <v>1677768.5500000003</v>
      </c>
      <c r="R33" s="205">
        <f t="shared" si="1"/>
        <v>173267.55000000028</v>
      </c>
      <c r="S33" s="206">
        <f t="shared" si="2"/>
        <v>1677768.5500000003</v>
      </c>
      <c r="T33" s="207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</row>
    <row r="34" spans="1:53" s="192" customFormat="1" ht="21.75" customHeight="1" thickBot="1" x14ac:dyDescent="0.3">
      <c r="A34" s="186"/>
      <c r="B34" s="187" t="s">
        <v>87</v>
      </c>
      <c r="C34" s="188">
        <f>SUM(C3:C33)</f>
        <v>6779311</v>
      </c>
      <c r="D34" s="188">
        <v>2556578</v>
      </c>
      <c r="E34" s="188">
        <f>SUM(E3:E30)</f>
        <v>3347065.442266529</v>
      </c>
      <c r="F34" s="188">
        <f>SUM(F3:F30)</f>
        <v>3957002</v>
      </c>
      <c r="G34" s="188">
        <f>G33+G32+G31+G30+G29+G28+G27+G26+G25+G24+G22+G21+G20+G19+G18+G17+G16+G15+G14+G13+G12+G11+G10+G9+G8+G7+G6+G4+G3</f>
        <v>243068724</v>
      </c>
      <c r="H34" s="188">
        <f>G34+F34+E34+D34+C34</f>
        <v>259708680.44226652</v>
      </c>
      <c r="I34" s="188">
        <v>7082931</v>
      </c>
      <c r="J34" s="188">
        <v>649677</v>
      </c>
      <c r="K34" s="188">
        <v>22151690</v>
      </c>
      <c r="L34" s="188">
        <v>22801366.999999996</v>
      </c>
      <c r="M34" s="188">
        <f>SUM(M3:M33)</f>
        <v>282510047.80226648</v>
      </c>
      <c r="N34" s="188">
        <v>143010764</v>
      </c>
      <c r="O34" s="188">
        <f t="shared" si="7"/>
        <v>165812131</v>
      </c>
      <c r="P34" s="188">
        <f>SUM(P4:P33)</f>
        <v>150093695.00000006</v>
      </c>
      <c r="Q34" s="188">
        <f>SUM(Q4:Q33)</f>
        <v>184330204.35000002</v>
      </c>
      <c r="R34" s="188">
        <v>172895062</v>
      </c>
      <c r="S34" s="189">
        <f>O34+I34+H34</f>
        <v>432603742.44226652</v>
      </c>
      <c r="T34" s="190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</row>
    <row r="35" spans="1:53" ht="9" customHeight="1" x14ac:dyDescent="0.25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83"/>
      <c r="T35" s="18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0" sqref="J10"/>
    </sheetView>
  </sheetViews>
  <sheetFormatPr defaultRowHeight="15" x14ac:dyDescent="0.25"/>
  <cols>
    <col min="1" max="1" width="26.7109375" customWidth="1"/>
    <col min="2" max="2" width="29.5703125" customWidth="1"/>
    <col min="3" max="3" width="16.140625" customWidth="1"/>
    <col min="4" max="4" width="17.42578125" customWidth="1"/>
    <col min="5" max="5" width="15.28515625" customWidth="1"/>
    <col min="6" max="6" width="15.5703125" customWidth="1"/>
    <col min="7" max="7" width="15.85546875" customWidth="1"/>
    <col min="8" max="8" width="14.85546875" customWidth="1"/>
    <col min="9" max="9" width="16.140625" customWidth="1"/>
    <col min="10" max="10" width="12.85546875" customWidth="1"/>
  </cols>
  <sheetData>
    <row r="1" spans="1:10" x14ac:dyDescent="0.25">
      <c r="A1" s="279">
        <v>2018</v>
      </c>
      <c r="B1" s="60" t="s">
        <v>13</v>
      </c>
      <c r="C1" s="60" t="s">
        <v>0</v>
      </c>
      <c r="D1" s="60"/>
      <c r="E1" s="60"/>
      <c r="F1" s="60"/>
      <c r="G1" s="60"/>
      <c r="H1" s="60"/>
      <c r="I1" s="60"/>
      <c r="J1" s="61"/>
    </row>
    <row r="2" spans="1:10" ht="60" x14ac:dyDescent="0.25">
      <c r="A2" s="280" t="s">
        <v>168</v>
      </c>
      <c r="B2" s="283" t="s">
        <v>169</v>
      </c>
      <c r="C2" s="283"/>
      <c r="D2" s="283" t="s">
        <v>170</v>
      </c>
      <c r="E2" s="283" t="s">
        <v>171</v>
      </c>
      <c r="F2" s="283" t="s">
        <v>172</v>
      </c>
      <c r="G2" s="283" t="s">
        <v>173</v>
      </c>
      <c r="H2" s="283" t="s">
        <v>174</v>
      </c>
      <c r="I2" s="283" t="s">
        <v>175</v>
      </c>
      <c r="J2" s="283" t="s">
        <v>176</v>
      </c>
    </row>
    <row r="3" spans="1:10" x14ac:dyDescent="0.25">
      <c r="A3" s="281"/>
      <c r="B3" s="284" t="s">
        <v>61</v>
      </c>
      <c r="C3" s="285" t="s">
        <v>87</v>
      </c>
      <c r="D3" s="286" t="s">
        <v>177</v>
      </c>
      <c r="E3" s="286" t="s">
        <v>178</v>
      </c>
      <c r="F3" s="286" t="s">
        <v>179</v>
      </c>
      <c r="G3" s="286" t="s">
        <v>180</v>
      </c>
      <c r="H3" s="286" t="s">
        <v>181</v>
      </c>
      <c r="I3" s="286" t="s">
        <v>182</v>
      </c>
      <c r="J3" s="287" t="s">
        <v>183</v>
      </c>
    </row>
    <row r="4" spans="1:10" x14ac:dyDescent="0.25">
      <c r="A4" s="282" t="s">
        <v>120</v>
      </c>
      <c r="B4" s="62" t="s">
        <v>70</v>
      </c>
      <c r="C4" s="63">
        <v>117861661</v>
      </c>
      <c r="D4" s="63">
        <v>97825178.629999995</v>
      </c>
      <c r="E4" s="63">
        <v>4714466.4400000004</v>
      </c>
      <c r="F4" s="63">
        <v>1178616.6100000001</v>
      </c>
      <c r="G4" s="63">
        <v>9428932.8800000008</v>
      </c>
      <c r="H4" s="63"/>
      <c r="I4" s="63">
        <v>4714466.4400000004</v>
      </c>
      <c r="J4" s="64"/>
    </row>
    <row r="5" spans="1:10" x14ac:dyDescent="0.25">
      <c r="A5" s="282" t="s">
        <v>125</v>
      </c>
      <c r="B5" s="65" t="s">
        <v>71</v>
      </c>
      <c r="C5" s="63">
        <v>3713990</v>
      </c>
      <c r="D5" s="63">
        <v>2971192</v>
      </c>
      <c r="E5" s="63">
        <v>259979.30000000002</v>
      </c>
      <c r="F5" s="63">
        <v>37139.9</v>
      </c>
      <c r="G5" s="63">
        <v>297119.2</v>
      </c>
      <c r="H5" s="63"/>
      <c r="I5" s="63">
        <v>148559.6</v>
      </c>
      <c r="J5" s="64"/>
    </row>
    <row r="6" spans="1:10" x14ac:dyDescent="0.25">
      <c r="A6" s="282" t="s">
        <v>128</v>
      </c>
      <c r="B6" s="65" t="s">
        <v>72</v>
      </c>
      <c r="C6" s="63">
        <v>22317972</v>
      </c>
      <c r="D6" s="63">
        <v>17854377.599999998</v>
      </c>
      <c r="E6" s="63">
        <v>1562258.04</v>
      </c>
      <c r="F6" s="63">
        <v>223179.72</v>
      </c>
      <c r="G6" s="63">
        <v>1785437.76</v>
      </c>
      <c r="H6" s="63"/>
      <c r="I6" s="63">
        <v>892718.88</v>
      </c>
      <c r="J6" s="64"/>
    </row>
    <row r="7" spans="1:10" x14ac:dyDescent="0.25">
      <c r="A7" s="282" t="s">
        <v>131</v>
      </c>
      <c r="B7" s="65" t="s">
        <v>73</v>
      </c>
      <c r="C7" s="63">
        <v>7773529</v>
      </c>
      <c r="D7" s="63"/>
      <c r="E7" s="63">
        <v>7773529</v>
      </c>
      <c r="F7" s="63"/>
      <c r="G7" s="63"/>
      <c r="H7" s="63"/>
      <c r="I7" s="66"/>
      <c r="J7" s="64"/>
    </row>
    <row r="8" spans="1:10" x14ac:dyDescent="0.25">
      <c r="A8" s="282" t="s">
        <v>132</v>
      </c>
      <c r="B8" s="65" t="s">
        <v>74</v>
      </c>
      <c r="C8" s="63">
        <v>1050272</v>
      </c>
      <c r="D8" s="63"/>
      <c r="E8" s="63"/>
      <c r="F8" s="63">
        <v>1050272</v>
      </c>
      <c r="G8" s="63"/>
      <c r="H8" s="63"/>
      <c r="I8" s="63"/>
      <c r="J8" s="64"/>
    </row>
    <row r="9" spans="1:10" x14ac:dyDescent="0.25">
      <c r="A9" s="282" t="s">
        <v>137</v>
      </c>
      <c r="B9" s="65" t="s">
        <v>75</v>
      </c>
      <c r="C9" s="63">
        <v>4877231</v>
      </c>
      <c r="D9" s="63">
        <v>3901784.8000000003</v>
      </c>
      <c r="E9" s="63">
        <v>243861.55000000002</v>
      </c>
      <c r="F9" s="63"/>
      <c r="G9" s="63">
        <v>487723.10000000003</v>
      </c>
      <c r="H9" s="63"/>
      <c r="I9" s="63">
        <v>243861.55000000002</v>
      </c>
      <c r="J9" s="64"/>
    </row>
    <row r="10" spans="1:10" x14ac:dyDescent="0.25">
      <c r="A10" s="282" t="s">
        <v>141</v>
      </c>
      <c r="B10" s="65" t="s">
        <v>76</v>
      </c>
      <c r="C10" s="63">
        <v>539975</v>
      </c>
      <c r="D10" s="63">
        <v>431980</v>
      </c>
      <c r="E10" s="63">
        <v>37798.25</v>
      </c>
      <c r="F10" s="63">
        <v>5399.75</v>
      </c>
      <c r="G10" s="63">
        <v>43198</v>
      </c>
      <c r="H10" s="63"/>
      <c r="I10" s="63">
        <v>21599</v>
      </c>
      <c r="J10" s="64"/>
    </row>
    <row r="11" spans="1:10" x14ac:dyDescent="0.25">
      <c r="A11" s="282" t="s">
        <v>142</v>
      </c>
      <c r="B11" s="62" t="s">
        <v>77</v>
      </c>
      <c r="C11" s="63">
        <v>42570532</v>
      </c>
      <c r="D11" s="63">
        <v>34056425.600000001</v>
      </c>
      <c r="E11" s="63">
        <v>2979937.24</v>
      </c>
      <c r="F11" s="63">
        <v>425705.32</v>
      </c>
      <c r="G11" s="63">
        <v>3405642.56</v>
      </c>
      <c r="H11" s="63"/>
      <c r="I11" s="63">
        <v>1702821.28</v>
      </c>
      <c r="J11" s="64"/>
    </row>
    <row r="12" spans="1:10" x14ac:dyDescent="0.25">
      <c r="A12" s="282" t="s">
        <v>143</v>
      </c>
      <c r="B12" s="67" t="s">
        <v>78</v>
      </c>
      <c r="C12" s="63">
        <v>4783795</v>
      </c>
      <c r="D12" s="63">
        <v>3827036</v>
      </c>
      <c r="E12" s="63">
        <v>334865.65000000002</v>
      </c>
      <c r="F12" s="63">
        <v>47837.950000000004</v>
      </c>
      <c r="G12" s="63">
        <v>382703.60000000003</v>
      </c>
      <c r="H12" s="63"/>
      <c r="I12" s="63">
        <v>191351.80000000002</v>
      </c>
      <c r="J12" s="64"/>
    </row>
    <row r="13" spans="1:10" x14ac:dyDescent="0.25">
      <c r="A13" s="282" t="s">
        <v>144</v>
      </c>
      <c r="B13" s="65" t="s">
        <v>79</v>
      </c>
      <c r="C13" s="63">
        <v>275165</v>
      </c>
      <c r="D13" s="63">
        <v>220132</v>
      </c>
      <c r="E13" s="63">
        <v>19261.550000000003</v>
      </c>
      <c r="F13" s="63">
        <v>2751.65</v>
      </c>
      <c r="G13" s="63">
        <v>22013.200000000001</v>
      </c>
      <c r="H13" s="63"/>
      <c r="I13" s="63">
        <v>11006.6</v>
      </c>
      <c r="J13" s="64"/>
    </row>
    <row r="14" spans="1:10" x14ac:dyDescent="0.25">
      <c r="A14" s="282" t="s">
        <v>145</v>
      </c>
      <c r="B14" s="65" t="s">
        <v>80</v>
      </c>
      <c r="C14" s="63">
        <v>62566</v>
      </c>
      <c r="D14" s="63">
        <v>50052.800000000003</v>
      </c>
      <c r="E14" s="63">
        <v>4379.6200000000008</v>
      </c>
      <c r="F14" s="63">
        <v>625.66</v>
      </c>
      <c r="G14" s="63">
        <v>5005.28</v>
      </c>
      <c r="H14" s="63"/>
      <c r="I14" s="63">
        <v>2502.64</v>
      </c>
      <c r="J14" s="64"/>
    </row>
    <row r="15" spans="1:10" x14ac:dyDescent="0.25">
      <c r="A15" s="282" t="s">
        <v>146</v>
      </c>
      <c r="B15" s="65" t="s">
        <v>81</v>
      </c>
      <c r="C15" s="63">
        <v>2265599</v>
      </c>
      <c r="D15" s="201"/>
      <c r="E15" s="201"/>
      <c r="F15" s="201"/>
      <c r="G15" s="63">
        <v>2265599</v>
      </c>
      <c r="H15" s="63"/>
      <c r="I15" s="68"/>
      <c r="J15" s="64"/>
    </row>
    <row r="16" spans="1:10" x14ac:dyDescent="0.25">
      <c r="A16" s="282" t="s">
        <v>150</v>
      </c>
      <c r="B16" s="69" t="s">
        <v>82</v>
      </c>
      <c r="C16" s="63">
        <v>1364549</v>
      </c>
      <c r="D16" s="68"/>
      <c r="E16" s="68"/>
      <c r="F16" s="68"/>
      <c r="G16" s="63">
        <v>1364549</v>
      </c>
      <c r="H16" s="63"/>
      <c r="I16" s="68"/>
      <c r="J16" s="64"/>
    </row>
    <row r="17" spans="1:10" x14ac:dyDescent="0.25">
      <c r="A17" s="282" t="s">
        <v>151</v>
      </c>
      <c r="B17" s="69" t="s">
        <v>83</v>
      </c>
      <c r="C17" s="63">
        <v>112712</v>
      </c>
      <c r="D17" s="68"/>
      <c r="E17" s="68"/>
      <c r="F17" s="68"/>
      <c r="G17" s="63">
        <v>112712</v>
      </c>
      <c r="H17" s="68"/>
      <c r="I17" s="68"/>
      <c r="J17" s="70"/>
    </row>
    <row r="18" spans="1:10" x14ac:dyDescent="0.25">
      <c r="A18" s="282" t="s">
        <v>154</v>
      </c>
      <c r="B18" s="62" t="s">
        <v>84</v>
      </c>
      <c r="C18" s="63">
        <v>20751933</v>
      </c>
      <c r="D18" s="71"/>
      <c r="E18" s="71"/>
      <c r="F18" s="71"/>
      <c r="G18" s="201"/>
      <c r="H18" s="63">
        <v>20751933</v>
      </c>
      <c r="I18" s="63"/>
      <c r="J18" s="64"/>
    </row>
    <row r="19" spans="1:10" ht="24.75" x14ac:dyDescent="0.25">
      <c r="A19" s="282" t="s">
        <v>184</v>
      </c>
      <c r="B19" s="62" t="s">
        <v>185</v>
      </c>
      <c r="C19" s="63">
        <v>9108748</v>
      </c>
      <c r="D19" s="63"/>
      <c r="E19" s="63"/>
      <c r="F19" s="63"/>
      <c r="G19" s="63"/>
      <c r="H19" s="72"/>
      <c r="I19" s="63">
        <v>9108748</v>
      </c>
      <c r="J19" s="64"/>
    </row>
    <row r="20" spans="1:10" x14ac:dyDescent="0.25">
      <c r="A20" s="282" t="s">
        <v>162</v>
      </c>
      <c r="B20" s="62" t="s">
        <v>86</v>
      </c>
      <c r="C20" s="63">
        <v>4082303</v>
      </c>
      <c r="D20" s="63"/>
      <c r="E20" s="63"/>
      <c r="F20" s="63"/>
      <c r="G20" s="63"/>
      <c r="H20" s="63"/>
      <c r="I20" s="201"/>
      <c r="J20" s="64">
        <v>4082303</v>
      </c>
    </row>
    <row r="21" spans="1:10" ht="15.75" thickBot="1" x14ac:dyDescent="0.3">
      <c r="A21" s="73" t="s">
        <v>186</v>
      </c>
      <c r="B21" s="56" t="s">
        <v>87</v>
      </c>
      <c r="C21" s="202">
        <f>SUM(C4:C20)</f>
        <v>243512532</v>
      </c>
      <c r="D21" s="202">
        <f>SUM(D4:D15)</f>
        <v>161138159.43000001</v>
      </c>
      <c r="E21" s="202">
        <f>SUM(E4:E15)</f>
        <v>17930336.640000001</v>
      </c>
      <c r="F21" s="202">
        <f>SUM(F4:F14)</f>
        <v>2971528.56</v>
      </c>
      <c r="G21" s="202">
        <f>SUM(G4:G17)</f>
        <v>19600635.579999998</v>
      </c>
      <c r="H21" s="202">
        <v>20751933</v>
      </c>
      <c r="I21" s="202">
        <f>SUM(I4:I19)</f>
        <v>17037635.789999999</v>
      </c>
      <c r="J21" s="203">
        <v>4082303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32"/>
  <sheetViews>
    <sheetView workbookViewId="0">
      <selection activeCell="L8" sqref="L8"/>
    </sheetView>
  </sheetViews>
  <sheetFormatPr defaultRowHeight="15" x14ac:dyDescent="0.25"/>
  <cols>
    <col min="1" max="1" width="33.85546875" customWidth="1"/>
    <col min="2" max="2" width="27.85546875" customWidth="1"/>
    <col min="3" max="3" width="17.85546875" customWidth="1"/>
    <col min="4" max="4" width="14.28515625" customWidth="1"/>
    <col min="5" max="5" width="13.5703125" customWidth="1"/>
    <col min="6" max="6" width="15.28515625" customWidth="1"/>
    <col min="7" max="7" width="13.5703125" customWidth="1"/>
    <col min="8" max="8" width="15.42578125" customWidth="1"/>
    <col min="9" max="9" width="12.28515625" customWidth="1"/>
    <col min="10" max="10" width="13.7109375" customWidth="1"/>
    <col min="11" max="94" width="9.140625" style="74"/>
  </cols>
  <sheetData>
    <row r="1" spans="1:94" ht="51.75" customHeight="1" thickBot="1" x14ac:dyDescent="0.3">
      <c r="A1" s="267" t="s">
        <v>0</v>
      </c>
      <c r="B1" s="270" t="s">
        <v>187</v>
      </c>
      <c r="C1" s="271">
        <v>2018</v>
      </c>
      <c r="D1" s="272" t="s">
        <v>170</v>
      </c>
      <c r="E1" s="272" t="s">
        <v>171</v>
      </c>
      <c r="F1" s="272" t="s">
        <v>188</v>
      </c>
      <c r="G1" s="272" t="s">
        <v>189</v>
      </c>
      <c r="H1" s="272" t="s">
        <v>174</v>
      </c>
      <c r="I1" s="272" t="s">
        <v>190</v>
      </c>
      <c r="J1" s="273" t="s">
        <v>191</v>
      </c>
    </row>
    <row r="2" spans="1:94" x14ac:dyDescent="0.25">
      <c r="A2" s="268">
        <v>2018</v>
      </c>
      <c r="B2" s="274" t="s">
        <v>61</v>
      </c>
      <c r="C2" s="275" t="s">
        <v>87</v>
      </c>
      <c r="D2" s="276" t="s">
        <v>177</v>
      </c>
      <c r="E2" s="276" t="s">
        <v>178</v>
      </c>
      <c r="F2" s="276" t="s">
        <v>179</v>
      </c>
      <c r="G2" s="276" t="s">
        <v>180</v>
      </c>
      <c r="H2" s="276" t="s">
        <v>181</v>
      </c>
      <c r="I2" s="276" t="s">
        <v>182</v>
      </c>
      <c r="J2" s="277" t="s">
        <v>183</v>
      </c>
    </row>
    <row r="3" spans="1:94" x14ac:dyDescent="0.25">
      <c r="A3" s="269" t="s">
        <v>120</v>
      </c>
      <c r="B3" s="55" t="s">
        <v>70</v>
      </c>
      <c r="C3" s="75">
        <v>117861661</v>
      </c>
      <c r="D3" s="75">
        <v>96825178.629999995</v>
      </c>
      <c r="E3" s="75">
        <v>4714466.4400000004</v>
      </c>
      <c r="F3" s="75">
        <v>1178616.6100000001</v>
      </c>
      <c r="G3" s="75">
        <v>9428932.8800000008</v>
      </c>
      <c r="H3" s="75"/>
      <c r="I3" s="75">
        <v>5714466.4400000004</v>
      </c>
      <c r="J3" s="76"/>
    </row>
    <row r="4" spans="1:94" s="59" customFormat="1" x14ac:dyDescent="0.25">
      <c r="A4" s="269" t="s">
        <v>192</v>
      </c>
      <c r="B4" s="55" t="s">
        <v>122</v>
      </c>
      <c r="C4" s="75">
        <v>1346990</v>
      </c>
      <c r="D4" s="75">
        <f>C4*0.8</f>
        <v>1077592</v>
      </c>
      <c r="E4" s="75">
        <f>C4*0.07</f>
        <v>94289.3</v>
      </c>
      <c r="F4" s="75">
        <f>C4*0.01</f>
        <v>13469.9</v>
      </c>
      <c r="G4" s="75">
        <f>C4*0.08</f>
        <v>107759.2</v>
      </c>
      <c r="H4" s="75">
        <v>0</v>
      </c>
      <c r="I4" s="75">
        <f>C4*0.04</f>
        <v>53879.6</v>
      </c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</row>
    <row r="5" spans="1:94" s="79" customFormat="1" x14ac:dyDescent="0.25">
      <c r="A5" s="269" t="s">
        <v>123</v>
      </c>
      <c r="B5" s="55" t="s">
        <v>124</v>
      </c>
      <c r="C5" s="75">
        <v>6321992.4248603899</v>
      </c>
      <c r="D5" s="75">
        <f>C5*0.8</f>
        <v>5057593.9398883125</v>
      </c>
      <c r="E5" s="75">
        <f>C5*0.07</f>
        <v>442539.46974022733</v>
      </c>
      <c r="F5" s="75">
        <f>C5*0.01</f>
        <v>63219.9242486039</v>
      </c>
      <c r="G5" s="75">
        <f>C5*0.08</f>
        <v>505759.3939888312</v>
      </c>
      <c r="H5" s="75">
        <v>0</v>
      </c>
      <c r="I5" s="75">
        <f>C5*0.04</f>
        <v>252879.6969944156</v>
      </c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</row>
    <row r="6" spans="1:94" x14ac:dyDescent="0.25">
      <c r="A6" s="269" t="s">
        <v>125</v>
      </c>
      <c r="B6" s="55" t="s">
        <v>71</v>
      </c>
      <c r="C6" s="75">
        <v>3713990</v>
      </c>
      <c r="D6" s="75">
        <v>2471192</v>
      </c>
      <c r="E6" s="75">
        <v>259979.30000000002</v>
      </c>
      <c r="F6" s="75">
        <v>37139.9</v>
      </c>
      <c r="G6" s="75">
        <v>297119.2</v>
      </c>
      <c r="H6" s="75"/>
      <c r="I6" s="75">
        <v>648559.6</v>
      </c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94" s="79" customFormat="1" x14ac:dyDescent="0.25">
      <c r="A7" s="269" t="s">
        <v>126</v>
      </c>
      <c r="B7" s="55" t="s">
        <v>127</v>
      </c>
      <c r="C7" s="75">
        <v>4311071.0749386204</v>
      </c>
      <c r="D7" s="75">
        <f>C7*0.79</f>
        <v>3405746.1492015105</v>
      </c>
      <c r="E7" s="75">
        <f>C7*0.07</f>
        <v>301774.97524570348</v>
      </c>
      <c r="F7" s="75">
        <f>(C7*0.02)</f>
        <v>86221.421498772412</v>
      </c>
      <c r="G7" s="75">
        <f>C7*0.08</f>
        <v>344885.68599508965</v>
      </c>
      <c r="H7" s="75"/>
      <c r="I7" s="75">
        <f>C7*0.04</f>
        <v>172442.84299754482</v>
      </c>
      <c r="J7" s="76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</row>
    <row r="8" spans="1:94" x14ac:dyDescent="0.25">
      <c r="A8" s="269" t="s">
        <v>128</v>
      </c>
      <c r="B8" s="55" t="s">
        <v>72</v>
      </c>
      <c r="C8" s="75">
        <v>22317972</v>
      </c>
      <c r="D8" s="75">
        <v>17854377.599999998</v>
      </c>
      <c r="E8" s="75">
        <v>1362258.04</v>
      </c>
      <c r="F8" s="75">
        <v>223179.72</v>
      </c>
      <c r="G8" s="75">
        <v>1785437.76</v>
      </c>
      <c r="H8" s="75"/>
      <c r="I8" s="75">
        <v>1092718.8799999999</v>
      </c>
      <c r="J8" s="76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1:94" s="79" customFormat="1" x14ac:dyDescent="0.25">
      <c r="A9" s="269" t="s">
        <v>129</v>
      </c>
      <c r="B9" s="55" t="s">
        <v>130</v>
      </c>
      <c r="C9" s="75">
        <v>2618794.2610675679</v>
      </c>
      <c r="D9" s="75"/>
      <c r="E9" s="75">
        <v>2618794.2610675679</v>
      </c>
      <c r="F9" s="75"/>
      <c r="G9" s="75"/>
      <c r="H9" s="75"/>
      <c r="I9" s="75"/>
      <c r="J9" s="76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</row>
    <row r="10" spans="1:94" x14ac:dyDescent="0.25">
      <c r="A10" s="269" t="s">
        <v>131</v>
      </c>
      <c r="B10" s="55" t="s">
        <v>73</v>
      </c>
      <c r="C10" s="75">
        <v>7773529</v>
      </c>
      <c r="D10" s="75"/>
      <c r="E10" s="75">
        <v>7773529</v>
      </c>
      <c r="F10" s="75"/>
      <c r="G10" s="75"/>
      <c r="H10" s="75"/>
      <c r="I10" s="75"/>
      <c r="J10" s="76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1:94" x14ac:dyDescent="0.25">
      <c r="A11" s="269" t="s">
        <v>132</v>
      </c>
      <c r="B11" s="55" t="s">
        <v>74</v>
      </c>
      <c r="C11" s="75">
        <v>1050272</v>
      </c>
      <c r="D11" s="75"/>
      <c r="E11" s="75"/>
      <c r="F11" s="75">
        <v>1050272</v>
      </c>
      <c r="G11" s="75"/>
      <c r="H11" s="75"/>
      <c r="I11" s="75"/>
      <c r="J11" s="76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1:94" s="79" customFormat="1" x14ac:dyDescent="0.25">
      <c r="A12" s="269" t="s">
        <v>135</v>
      </c>
      <c r="B12" s="55" t="s">
        <v>136</v>
      </c>
      <c r="C12" s="75">
        <v>15388891.882100999</v>
      </c>
      <c r="D12" s="75">
        <f>(C12*0.56)</f>
        <v>8617779.4539765604</v>
      </c>
      <c r="E12" s="75">
        <f>C12*0.07</f>
        <v>1077222.43174707</v>
      </c>
      <c r="F12" s="75">
        <f>(C12*0.05)</f>
        <v>769444.59410504997</v>
      </c>
      <c r="G12" s="75">
        <f>C12*0.08</f>
        <v>1231111.3505680801</v>
      </c>
      <c r="H12" s="75"/>
      <c r="I12" s="75">
        <f>C12*0.24</f>
        <v>3693334.0517042396</v>
      </c>
      <c r="J12" s="76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</row>
    <row r="13" spans="1:94" s="79" customFormat="1" x14ac:dyDescent="0.25">
      <c r="A13" s="269" t="s">
        <v>137</v>
      </c>
      <c r="B13" s="55" t="s">
        <v>138</v>
      </c>
      <c r="C13" s="75">
        <v>11444363.121692101</v>
      </c>
      <c r="D13" s="75">
        <f>C13*0.56</f>
        <v>6408843.3481475767</v>
      </c>
      <c r="E13" s="75">
        <f>C13*0.09</f>
        <v>1029992.680952289</v>
      </c>
      <c r="F13" s="75"/>
      <c r="G13" s="75">
        <f>C13*0.1</f>
        <v>1144436.3121692101</v>
      </c>
      <c r="H13" s="75"/>
      <c r="I13" s="75">
        <f>C13*0.25</f>
        <v>2861090.7804230251</v>
      </c>
      <c r="J13" s="76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</row>
    <row r="14" spans="1:94" x14ac:dyDescent="0.25">
      <c r="A14" s="269" t="s">
        <v>137</v>
      </c>
      <c r="B14" s="55" t="s">
        <v>75</v>
      </c>
      <c r="C14" s="75">
        <v>4877231</v>
      </c>
      <c r="D14" s="75">
        <v>2901784.8</v>
      </c>
      <c r="E14" s="75">
        <v>243861.55000000002</v>
      </c>
      <c r="F14" s="75"/>
      <c r="G14" s="75">
        <v>487723.10000000003</v>
      </c>
      <c r="H14" s="75"/>
      <c r="I14" s="75">
        <v>1243861.55</v>
      </c>
      <c r="J14" s="76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</row>
    <row r="15" spans="1:94" s="79" customFormat="1" x14ac:dyDescent="0.25">
      <c r="A15" s="269" t="s">
        <v>139</v>
      </c>
      <c r="B15" s="55" t="s">
        <v>140</v>
      </c>
      <c r="C15" s="75">
        <v>5678220.0174009996</v>
      </c>
      <c r="D15" s="75">
        <f>C15*0.8</f>
        <v>4542576.0139207998</v>
      </c>
      <c r="E15" s="75">
        <f>C15*0.07</f>
        <v>397475.40121807001</v>
      </c>
      <c r="F15" s="75">
        <f>C15*0.01</f>
        <v>56782.200174009995</v>
      </c>
      <c r="G15" s="75">
        <f>C15*0.08</f>
        <v>454257.60139207996</v>
      </c>
      <c r="H15" s="75">
        <v>0</v>
      </c>
      <c r="I15" s="75">
        <f>C15*0.04</f>
        <v>227128.80069603998</v>
      </c>
      <c r="J15" s="76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</row>
    <row r="16" spans="1:94" x14ac:dyDescent="0.25">
      <c r="A16" s="269" t="s">
        <v>193</v>
      </c>
      <c r="B16" s="55"/>
      <c r="C16" s="75">
        <v>582250</v>
      </c>
      <c r="D16" s="75">
        <v>582250</v>
      </c>
      <c r="E16" s="75"/>
      <c r="F16" s="75"/>
      <c r="G16" s="75"/>
      <c r="H16" s="75"/>
      <c r="I16" s="75"/>
      <c r="J16" s="76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</row>
    <row r="17" spans="1:94" x14ac:dyDescent="0.25">
      <c r="A17" s="269" t="s">
        <v>141</v>
      </c>
      <c r="B17" s="55" t="s">
        <v>76</v>
      </c>
      <c r="C17" s="75">
        <v>539975</v>
      </c>
      <c r="D17" s="75">
        <v>431980</v>
      </c>
      <c r="E17" s="75">
        <v>37798.25</v>
      </c>
      <c r="F17" s="75">
        <v>5399.75</v>
      </c>
      <c r="G17" s="75">
        <v>43198</v>
      </c>
      <c r="H17" s="75"/>
      <c r="I17" s="75">
        <v>21599</v>
      </c>
      <c r="J17" s="76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</row>
    <row r="18" spans="1:94" x14ac:dyDescent="0.25">
      <c r="A18" s="269" t="s">
        <v>142</v>
      </c>
      <c r="B18" s="55" t="s">
        <v>77</v>
      </c>
      <c r="C18" s="75">
        <v>42570532</v>
      </c>
      <c r="D18" s="75">
        <v>32056425.600000001</v>
      </c>
      <c r="E18" s="75">
        <v>2979937.24</v>
      </c>
      <c r="F18" s="75">
        <v>425705.32</v>
      </c>
      <c r="G18" s="75">
        <v>2405642.56</v>
      </c>
      <c r="H18" s="75"/>
      <c r="I18" s="75">
        <v>4702821.28</v>
      </c>
      <c r="J18" s="76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</row>
    <row r="19" spans="1:94" x14ac:dyDescent="0.25">
      <c r="A19" s="269" t="s">
        <v>143</v>
      </c>
      <c r="B19" s="55" t="s">
        <v>78</v>
      </c>
      <c r="C19" s="75">
        <v>4783795</v>
      </c>
      <c r="D19" s="75">
        <v>3227036</v>
      </c>
      <c r="E19" s="75">
        <v>334865.65000000002</v>
      </c>
      <c r="F19" s="75">
        <v>47837.950000000004</v>
      </c>
      <c r="G19" s="75">
        <v>382703.60000000003</v>
      </c>
      <c r="H19" s="75"/>
      <c r="I19" s="75">
        <v>791351.8</v>
      </c>
      <c r="J19" s="76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</row>
    <row r="20" spans="1:94" x14ac:dyDescent="0.25">
      <c r="A20" s="269" t="s">
        <v>144</v>
      </c>
      <c r="B20" s="55" t="s">
        <v>79</v>
      </c>
      <c r="C20" s="75">
        <v>275165</v>
      </c>
      <c r="D20" s="75">
        <v>220132</v>
      </c>
      <c r="E20" s="75">
        <v>19261.550000000003</v>
      </c>
      <c r="F20" s="75">
        <v>2751.65</v>
      </c>
      <c r="G20" s="75">
        <v>22013.200000000001</v>
      </c>
      <c r="H20" s="75"/>
      <c r="I20" s="75">
        <v>11006.6</v>
      </c>
      <c r="J20" s="76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</row>
    <row r="21" spans="1:94" x14ac:dyDescent="0.25">
      <c r="A21" s="269" t="s">
        <v>145</v>
      </c>
      <c r="B21" s="55" t="s">
        <v>80</v>
      </c>
      <c r="C21" s="75">
        <v>62566</v>
      </c>
      <c r="D21" s="75">
        <v>50052.800000000003</v>
      </c>
      <c r="E21" s="75">
        <v>4379.6200000000008</v>
      </c>
      <c r="F21" s="75">
        <v>625.66</v>
      </c>
      <c r="G21" s="75">
        <v>5005.28</v>
      </c>
      <c r="H21" s="75"/>
      <c r="I21" s="75">
        <v>2502.64</v>
      </c>
      <c r="J21" s="76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</row>
    <row r="22" spans="1:94" x14ac:dyDescent="0.25">
      <c r="A22" s="269" t="s">
        <v>146</v>
      </c>
      <c r="B22" s="55" t="s">
        <v>147</v>
      </c>
      <c r="C22" s="75">
        <v>2265599</v>
      </c>
      <c r="D22" s="75"/>
      <c r="E22" s="75"/>
      <c r="F22" s="75"/>
      <c r="G22" s="75">
        <v>2265599</v>
      </c>
      <c r="H22" s="75"/>
      <c r="I22" s="75"/>
      <c r="J22" s="76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</row>
    <row r="23" spans="1:94" s="79" customFormat="1" x14ac:dyDescent="0.25">
      <c r="A23" s="269" t="s">
        <v>148</v>
      </c>
      <c r="B23" s="55" t="s">
        <v>149</v>
      </c>
      <c r="C23" s="75">
        <v>18647101.178319301</v>
      </c>
      <c r="D23" s="75"/>
      <c r="E23" s="75"/>
      <c r="F23" s="75"/>
      <c r="G23" s="75">
        <v>18647101.178319301</v>
      </c>
      <c r="H23" s="75"/>
      <c r="I23" s="75"/>
      <c r="J23" s="76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</row>
    <row r="24" spans="1:94" x14ac:dyDescent="0.25">
      <c r="A24" s="269" t="s">
        <v>150</v>
      </c>
      <c r="B24" s="55" t="s">
        <v>82</v>
      </c>
      <c r="C24" s="75">
        <v>1364549</v>
      </c>
      <c r="D24" s="75"/>
      <c r="E24" s="75"/>
      <c r="F24" s="75"/>
      <c r="G24" s="75">
        <v>1364549</v>
      </c>
      <c r="H24" s="75"/>
      <c r="I24" s="75"/>
      <c r="J24" s="76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</row>
    <row r="25" spans="1:94" x14ac:dyDescent="0.25">
      <c r="A25" s="269" t="s">
        <v>194</v>
      </c>
      <c r="B25" s="55"/>
      <c r="C25" s="75">
        <v>562480</v>
      </c>
      <c r="D25" s="75">
        <v>562480</v>
      </c>
      <c r="E25" s="75"/>
      <c r="F25" s="75"/>
      <c r="G25" s="75"/>
      <c r="H25" s="75"/>
      <c r="I25" s="75"/>
      <c r="J25" s="76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</row>
    <row r="26" spans="1:94" x14ac:dyDescent="0.25">
      <c r="A26" s="269" t="s">
        <v>151</v>
      </c>
      <c r="B26" s="55" t="s">
        <v>83</v>
      </c>
      <c r="C26" s="75">
        <v>112712</v>
      </c>
      <c r="D26" s="75"/>
      <c r="E26" s="75"/>
      <c r="F26" s="75"/>
      <c r="G26" s="75">
        <v>112712</v>
      </c>
      <c r="H26" s="75"/>
      <c r="I26" s="75"/>
      <c r="J26" s="76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</row>
    <row r="27" spans="1:94" s="79" customFormat="1" x14ac:dyDescent="0.25">
      <c r="A27" s="269" t="s">
        <v>152</v>
      </c>
      <c r="B27" s="55" t="s">
        <v>153</v>
      </c>
      <c r="C27" s="75">
        <v>120684555.03962001</v>
      </c>
      <c r="D27" s="75"/>
      <c r="E27" s="75"/>
      <c r="F27" s="75"/>
      <c r="G27" s="75"/>
      <c r="H27" s="75">
        <v>120684555.03962001</v>
      </c>
      <c r="I27" s="75"/>
      <c r="J27" s="76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</row>
    <row r="28" spans="1:94" x14ac:dyDescent="0.25">
      <c r="A28" s="269" t="s">
        <v>154</v>
      </c>
      <c r="B28" s="55" t="s">
        <v>155</v>
      </c>
      <c r="C28" s="75">
        <v>20751933</v>
      </c>
      <c r="D28" s="75"/>
      <c r="E28" s="75"/>
      <c r="F28" s="75"/>
      <c r="G28" s="75"/>
      <c r="H28" s="75">
        <v>20751933</v>
      </c>
      <c r="I28" s="75"/>
      <c r="J28" s="76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</row>
    <row r="29" spans="1:94" x14ac:dyDescent="0.25">
      <c r="A29" s="269" t="s">
        <v>195</v>
      </c>
      <c r="B29" s="55" t="s">
        <v>196</v>
      </c>
      <c r="C29" s="75">
        <v>9108748</v>
      </c>
      <c r="D29" s="75"/>
      <c r="E29" s="75"/>
      <c r="F29" s="75"/>
      <c r="G29" s="75"/>
      <c r="H29" s="75"/>
      <c r="I29" s="75">
        <v>9108748</v>
      </c>
      <c r="J29" s="76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</row>
    <row r="30" spans="1:94" x14ac:dyDescent="0.25">
      <c r="A30" s="269" t="s">
        <v>162</v>
      </c>
      <c r="B30" s="55" t="s">
        <v>163</v>
      </c>
      <c r="C30" s="75">
        <v>4082303</v>
      </c>
      <c r="D30" s="75"/>
      <c r="E30" s="75"/>
      <c r="F30" s="75"/>
      <c r="G30" s="75"/>
      <c r="H30" s="75"/>
      <c r="I30" s="75"/>
      <c r="J30" s="76">
        <v>4082303</v>
      </c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</row>
    <row r="31" spans="1:94" x14ac:dyDescent="0.25">
      <c r="A31" s="269" t="s">
        <v>166</v>
      </c>
      <c r="B31" s="55" t="s">
        <v>167</v>
      </c>
      <c r="C31" s="75">
        <v>1504501</v>
      </c>
      <c r="D31" s="75">
        <v>1504501</v>
      </c>
      <c r="E31" s="75"/>
      <c r="F31" s="75"/>
      <c r="G31" s="75"/>
      <c r="H31" s="75"/>
      <c r="I31" s="75"/>
      <c r="J31" s="76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</row>
    <row r="32" spans="1:94" ht="15.75" thickBot="1" x14ac:dyDescent="0.3">
      <c r="A32" s="278" t="s">
        <v>56</v>
      </c>
      <c r="B32" s="80" t="s">
        <v>87</v>
      </c>
      <c r="C32" s="265">
        <v>432603742</v>
      </c>
      <c r="D32" s="265">
        <f>SUM(D3:D31)</f>
        <v>187797521.33513477</v>
      </c>
      <c r="E32" s="265">
        <f>SUM(E3:E30)</f>
        <v>23692425.159970932</v>
      </c>
      <c r="F32" s="265">
        <f>SUM(F3:F31)</f>
        <v>3960666.6000264362</v>
      </c>
      <c r="G32" s="265">
        <f>SUM(G3:G27)</f>
        <v>41035946.302432597</v>
      </c>
      <c r="H32" s="265">
        <f>H27+H28</f>
        <v>141436488.03962001</v>
      </c>
      <c r="I32" s="265">
        <f>SUM(I3:I29)</f>
        <v>30598391.562815268</v>
      </c>
      <c r="J32" s="266">
        <v>4082303</v>
      </c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workbookViewId="0">
      <selection activeCell="M12" sqref="M12"/>
    </sheetView>
  </sheetViews>
  <sheetFormatPr defaultRowHeight="15" x14ac:dyDescent="0.25"/>
  <cols>
    <col min="1" max="1" width="3.85546875" customWidth="1"/>
    <col min="2" max="2" width="20.28515625" customWidth="1"/>
    <col min="3" max="3" width="14.140625" customWidth="1"/>
    <col min="4" max="4" width="16" customWidth="1"/>
    <col min="5" max="5" width="14.140625" customWidth="1"/>
    <col min="6" max="6" width="16.85546875" customWidth="1"/>
    <col min="7" max="7" width="14" customWidth="1"/>
    <col min="8" max="8" width="17" customWidth="1"/>
    <col min="9" max="9" width="14.7109375" customWidth="1"/>
    <col min="10" max="10" width="16.42578125" customWidth="1"/>
    <col min="11" max="11" width="20.42578125" customWidth="1"/>
  </cols>
  <sheetData>
    <row r="1" spans="2:11" x14ac:dyDescent="0.25">
      <c r="B1" s="81" t="s">
        <v>0</v>
      </c>
      <c r="C1" s="82"/>
      <c r="D1" s="82"/>
      <c r="E1" s="82"/>
      <c r="F1" s="82"/>
      <c r="G1" s="82"/>
      <c r="H1" s="82"/>
      <c r="I1" s="82"/>
      <c r="J1" s="82"/>
      <c r="K1" s="83"/>
    </row>
    <row r="2" spans="2:11" ht="39.75" customHeight="1" x14ac:dyDescent="0.25">
      <c r="B2" s="313">
        <v>2018</v>
      </c>
      <c r="C2" s="314"/>
      <c r="D2" s="315" t="s">
        <v>197</v>
      </c>
      <c r="E2" s="315" t="s">
        <v>198</v>
      </c>
      <c r="F2" s="314"/>
      <c r="G2" s="314"/>
      <c r="H2" s="314"/>
      <c r="I2" s="314"/>
      <c r="J2" s="314"/>
      <c r="K2" s="316"/>
    </row>
    <row r="3" spans="2:11" ht="40.5" customHeight="1" x14ac:dyDescent="0.25">
      <c r="B3" s="317" t="s">
        <v>13</v>
      </c>
      <c r="C3" s="314"/>
      <c r="D3" s="314"/>
      <c r="E3" s="315" t="s">
        <v>170</v>
      </c>
      <c r="F3" s="315" t="s">
        <v>171</v>
      </c>
      <c r="G3" s="315" t="s">
        <v>172</v>
      </c>
      <c r="H3" s="315" t="s">
        <v>199</v>
      </c>
      <c r="I3" s="315" t="s">
        <v>200</v>
      </c>
      <c r="J3" s="315" t="s">
        <v>201</v>
      </c>
      <c r="K3" s="318" t="s">
        <v>202</v>
      </c>
    </row>
    <row r="4" spans="2:11" x14ac:dyDescent="0.25">
      <c r="B4" s="317" t="s">
        <v>203</v>
      </c>
      <c r="C4" s="310" t="s">
        <v>204</v>
      </c>
      <c r="D4" s="310" t="s">
        <v>205</v>
      </c>
      <c r="E4" s="311" t="s">
        <v>177</v>
      </c>
      <c r="F4" s="311" t="s">
        <v>178</v>
      </c>
      <c r="G4" s="311" t="s">
        <v>179</v>
      </c>
      <c r="H4" s="311" t="s">
        <v>180</v>
      </c>
      <c r="I4" s="311" t="s">
        <v>181</v>
      </c>
      <c r="J4" s="311" t="s">
        <v>182</v>
      </c>
      <c r="K4" s="312" t="s">
        <v>183</v>
      </c>
    </row>
    <row r="5" spans="2:11" x14ac:dyDescent="0.25">
      <c r="B5" s="317"/>
      <c r="C5" s="52"/>
      <c r="D5" s="52"/>
      <c r="E5" s="52"/>
      <c r="F5" s="52"/>
      <c r="G5" s="52"/>
      <c r="H5" s="52"/>
      <c r="I5" s="52"/>
      <c r="J5" s="52"/>
      <c r="K5" s="54"/>
    </row>
    <row r="6" spans="2:11" ht="30.75" customHeight="1" x14ac:dyDescent="0.25">
      <c r="B6" s="317" t="s">
        <v>63</v>
      </c>
      <c r="C6" s="84" t="s">
        <v>206</v>
      </c>
      <c r="D6" s="75">
        <v>6479311</v>
      </c>
      <c r="E6" s="75">
        <f>D6*3.5/100</f>
        <v>226775.88500000001</v>
      </c>
      <c r="F6" s="75">
        <f>D6*7.05/100</f>
        <v>456791.42549999995</v>
      </c>
      <c r="G6" s="75">
        <f>(D6*0.78538/100)-19981.7944717993</f>
        <v>30905.418260000697</v>
      </c>
      <c r="H6" s="75">
        <f>D6*2.34/100</f>
        <v>151615.8774</v>
      </c>
      <c r="I6" s="75">
        <f>D6*20.53/100</f>
        <v>1330202.5483000001</v>
      </c>
      <c r="J6" s="75">
        <f>D6*56.114/100</f>
        <v>3635800.5745399999</v>
      </c>
      <c r="K6" s="76">
        <v>647219.27099999995</v>
      </c>
    </row>
    <row r="7" spans="2:11" ht="29.25" customHeight="1" x14ac:dyDescent="0.25">
      <c r="B7" s="317" t="s">
        <v>64</v>
      </c>
      <c r="C7" s="84" t="s">
        <v>207</v>
      </c>
      <c r="D7" s="75">
        <v>2556578</v>
      </c>
      <c r="E7" s="75">
        <f>D7*65.84/100</f>
        <v>1683250.9552000002</v>
      </c>
      <c r="F7" s="75">
        <f>(D7*6.5/100)+71535.235</f>
        <v>237712.80499999999</v>
      </c>
      <c r="G7" s="75">
        <v>1070.4177500000224</v>
      </c>
      <c r="H7" s="75">
        <f>D7*7.618/100</f>
        <v>194760.11204000001</v>
      </c>
      <c r="I7" s="75">
        <f>(D7*15.3/100)-1507.21857000049</f>
        <v>389649.21542999952</v>
      </c>
      <c r="J7" s="75">
        <f>D7*1.961/100</f>
        <v>50134.494580000006</v>
      </c>
      <c r="K7" s="76"/>
    </row>
    <row r="8" spans="2:11" ht="30" customHeight="1" x14ac:dyDescent="0.25">
      <c r="B8" s="317" t="s">
        <v>65</v>
      </c>
      <c r="C8" s="84" t="s">
        <v>207</v>
      </c>
      <c r="D8" s="75">
        <v>2116982</v>
      </c>
      <c r="E8" s="75">
        <f>D8*65.84/100</f>
        <v>1393820.9487999999</v>
      </c>
      <c r="F8" s="75">
        <f>(D8*6.6/100)+846</f>
        <v>140566.81200000001</v>
      </c>
      <c r="G8" s="75">
        <f>D8*0.94/100</f>
        <v>19899.630799999999</v>
      </c>
      <c r="H8" s="75">
        <f>D8*7.62/100</f>
        <v>161314.02840000001</v>
      </c>
      <c r="I8" s="75">
        <f>(D8*0.3/100)+741.736500000115</f>
        <v>7092.6825000001154</v>
      </c>
      <c r="J8" s="75">
        <f>D8*18.625/100</f>
        <v>394287.89750000002</v>
      </c>
      <c r="K8" s="76"/>
    </row>
    <row r="9" spans="2:11" ht="29.25" customHeight="1" x14ac:dyDescent="0.25">
      <c r="B9" s="317" t="s">
        <v>66</v>
      </c>
      <c r="C9" s="84" t="s">
        <v>208</v>
      </c>
      <c r="D9" s="75">
        <v>2726919</v>
      </c>
      <c r="E9" s="75">
        <f>D9*51.83/100</f>
        <v>1413362.1176999998</v>
      </c>
      <c r="F9" s="75">
        <f>(D9*8.3/100)-9717.22140999976</f>
        <v>216617.05559000027</v>
      </c>
      <c r="G9" s="75">
        <v>65373.638199999928</v>
      </c>
      <c r="H9" s="75">
        <f>D9*4.87/100</f>
        <v>132800.9553</v>
      </c>
      <c r="I9" s="75">
        <f>D9*32.959/100</f>
        <v>898765.23321000009</v>
      </c>
      <c r="J9" s="75"/>
      <c r="K9" s="76"/>
    </row>
    <row r="10" spans="2:11" x14ac:dyDescent="0.25">
      <c r="B10" s="317" t="s">
        <v>67</v>
      </c>
      <c r="C10" s="84" t="s">
        <v>209</v>
      </c>
      <c r="D10" s="75">
        <v>206831374.80000001</v>
      </c>
      <c r="E10" s="75">
        <f>(((D10*68.417735/100)+454876.084477544)+2005420.79467487)+5884098.59316444</f>
        <v>149853737.37983763</v>
      </c>
      <c r="F10" s="75">
        <f>((D10*6.56/100))-61266.6600000001</f>
        <v>13506871.52688</v>
      </c>
      <c r="G10" s="75">
        <f>(D10*1.14/100)-44771.79</f>
        <v>2313105.8827199996</v>
      </c>
      <c r="H10" s="75">
        <v>14557794.511400001</v>
      </c>
      <c r="I10" s="75">
        <v>12096444.468512399</v>
      </c>
      <c r="J10" s="75">
        <v>11068337.030650001</v>
      </c>
      <c r="K10" s="76">
        <v>3435084</v>
      </c>
    </row>
    <row r="11" spans="2:11" ht="33.75" customHeight="1" x14ac:dyDescent="0.25">
      <c r="B11" s="317" t="s">
        <v>210</v>
      </c>
      <c r="C11" s="85"/>
      <c r="D11" s="86">
        <v>220711164.80000001</v>
      </c>
      <c r="E11" s="86">
        <v>154570947.28653762</v>
      </c>
      <c r="F11" s="86">
        <v>14558559.62497</v>
      </c>
      <c r="G11" s="86">
        <v>2430354.9877300002</v>
      </c>
      <c r="H11" s="86">
        <v>15198285.484540001</v>
      </c>
      <c r="I11" s="86">
        <v>14722154.147952398</v>
      </c>
      <c r="J11" s="86">
        <v>15148559.997270003</v>
      </c>
      <c r="K11" s="87">
        <v>4082303.2709999997</v>
      </c>
    </row>
    <row r="12" spans="2:11" ht="23.25" customHeight="1" x14ac:dyDescent="0.25">
      <c r="B12" s="317" t="s">
        <v>211</v>
      </c>
      <c r="C12" s="84" t="s">
        <v>212</v>
      </c>
      <c r="D12" s="75">
        <v>649677</v>
      </c>
      <c r="E12" s="75">
        <v>607179.22955004498</v>
      </c>
      <c r="F12" s="75">
        <v>42497.770449955016</v>
      </c>
      <c r="G12" s="75"/>
      <c r="H12" s="75"/>
      <c r="I12" s="75"/>
      <c r="J12" s="75"/>
      <c r="K12" s="76"/>
    </row>
    <row r="13" spans="2:11" ht="26.25" customHeight="1" x14ac:dyDescent="0.25">
      <c r="B13" s="317" t="s">
        <v>213</v>
      </c>
      <c r="C13" s="84" t="s">
        <v>214</v>
      </c>
      <c r="D13" s="75">
        <f>D14-D12</f>
        <v>22151690</v>
      </c>
      <c r="E13" s="75">
        <f>E14-E12</f>
        <v>5960032.9139123447</v>
      </c>
      <c r="F13" s="75">
        <f>F14-F12</f>
        <v>3329279.2445800453</v>
      </c>
      <c r="G13" s="75">
        <v>541173.57226999989</v>
      </c>
      <c r="H13" s="75">
        <v>4402350.0954599977</v>
      </c>
      <c r="I13" s="75">
        <v>6029778.8520476017</v>
      </c>
      <c r="J13" s="75">
        <v>1889075.7927299961</v>
      </c>
      <c r="K13" s="76"/>
    </row>
    <row r="14" spans="2:11" ht="26.25" customHeight="1" x14ac:dyDescent="0.25">
      <c r="B14" s="317" t="s">
        <v>215</v>
      </c>
      <c r="C14" s="84"/>
      <c r="D14" s="86">
        <v>22801367</v>
      </c>
      <c r="E14" s="86">
        <v>6567212.1434623897</v>
      </c>
      <c r="F14" s="86">
        <v>3371777.0150300004</v>
      </c>
      <c r="G14" s="86">
        <v>541173.57226999989</v>
      </c>
      <c r="H14" s="86">
        <v>4402350.0954599977</v>
      </c>
      <c r="I14" s="86">
        <v>6029778.8520476017</v>
      </c>
      <c r="J14" s="86">
        <v>1889075.7927299961</v>
      </c>
      <c r="K14" s="87"/>
    </row>
    <row r="15" spans="2:11" ht="34.5" customHeight="1" thickBot="1" x14ac:dyDescent="0.3">
      <c r="B15" s="319" t="s">
        <v>216</v>
      </c>
      <c r="C15" s="320"/>
      <c r="D15" s="265">
        <v>243512531.80000001</v>
      </c>
      <c r="E15" s="265">
        <v>161138159.43000001</v>
      </c>
      <c r="F15" s="265">
        <v>17930336.640000001</v>
      </c>
      <c r="G15" s="265">
        <v>2971528.56</v>
      </c>
      <c r="H15" s="265">
        <v>19600635.579999998</v>
      </c>
      <c r="I15" s="265">
        <v>20751933</v>
      </c>
      <c r="J15" s="265">
        <v>17037635.789999999</v>
      </c>
      <c r="K15" s="266">
        <v>4082303.2709999997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K12" sqref="K12"/>
    </sheetView>
  </sheetViews>
  <sheetFormatPr defaultRowHeight="15" x14ac:dyDescent="0.25"/>
  <cols>
    <col min="1" max="1" width="25.140625" style="168" customWidth="1"/>
    <col min="2" max="2" width="21" style="168" customWidth="1"/>
    <col min="3" max="3" width="23.7109375" style="168" customWidth="1"/>
    <col min="4" max="4" width="22" style="168" customWidth="1"/>
    <col min="5" max="5" width="13.140625" style="168" customWidth="1"/>
    <col min="6" max="6" width="14" style="168" customWidth="1"/>
    <col min="7" max="7" width="15.140625" style="168" customWidth="1"/>
    <col min="8" max="8" width="13.5703125" style="168" customWidth="1"/>
    <col min="9" max="9" width="14" style="168" customWidth="1"/>
    <col min="10" max="10" width="12.85546875" style="168" customWidth="1"/>
    <col min="11" max="11" width="14" style="168" customWidth="1"/>
    <col min="12" max="12" width="14.28515625" style="168" customWidth="1"/>
    <col min="13" max="16384" width="9.140625" style="168"/>
  </cols>
  <sheetData>
    <row r="1" spans="1:13" ht="56.25" customHeight="1" thickBot="1" x14ac:dyDescent="0.3">
      <c r="A1" s="321">
        <v>2018</v>
      </c>
      <c r="B1" s="322" t="s">
        <v>0</v>
      </c>
      <c r="C1" s="323" t="s">
        <v>204</v>
      </c>
      <c r="D1" s="323" t="s">
        <v>186</v>
      </c>
      <c r="E1" s="322" t="s">
        <v>170</v>
      </c>
      <c r="F1" s="322" t="s">
        <v>171</v>
      </c>
      <c r="G1" s="322" t="s">
        <v>172</v>
      </c>
      <c r="H1" s="322" t="s">
        <v>199</v>
      </c>
      <c r="I1" s="322" t="s">
        <v>174</v>
      </c>
      <c r="J1" s="322" t="s">
        <v>364</v>
      </c>
      <c r="K1" s="322" t="s">
        <v>365</v>
      </c>
      <c r="L1" s="322" t="s">
        <v>186</v>
      </c>
      <c r="M1" s="176"/>
    </row>
    <row r="2" spans="1:13" x14ac:dyDescent="0.25">
      <c r="A2" s="324" t="s">
        <v>366</v>
      </c>
      <c r="B2" s="325"/>
      <c r="C2" s="326"/>
      <c r="D2" s="326" t="s">
        <v>390</v>
      </c>
      <c r="E2" s="327" t="s">
        <v>367</v>
      </c>
      <c r="F2" s="327" t="s">
        <v>368</v>
      </c>
      <c r="G2" s="327" t="s">
        <v>369</v>
      </c>
      <c r="H2" s="327" t="s">
        <v>370</v>
      </c>
      <c r="I2" s="327" t="s">
        <v>371</v>
      </c>
      <c r="J2" s="327" t="s">
        <v>372</v>
      </c>
      <c r="K2" s="327" t="s">
        <v>373</v>
      </c>
      <c r="L2" s="322"/>
      <c r="M2" s="176"/>
    </row>
    <row r="3" spans="1:13" ht="24" customHeight="1" x14ac:dyDescent="0.25">
      <c r="A3" s="163" t="s">
        <v>63</v>
      </c>
      <c r="B3" s="164"/>
      <c r="C3" s="165" t="s">
        <v>206</v>
      </c>
      <c r="D3" s="169">
        <v>6779311</v>
      </c>
      <c r="E3" s="169">
        <v>526775.88500000001</v>
      </c>
      <c r="F3" s="169">
        <v>456791.42549999995</v>
      </c>
      <c r="G3" s="169">
        <v>30905.418260000697</v>
      </c>
      <c r="H3" s="169">
        <v>151615.8774</v>
      </c>
      <c r="I3" s="169">
        <v>1330202.5483000001</v>
      </c>
      <c r="J3" s="169">
        <v>3635800.5745399999</v>
      </c>
      <c r="K3" s="169">
        <v>647219.27099999995</v>
      </c>
      <c r="L3" s="170">
        <f t="shared" ref="L3:L10" si="0">K3+J3+I3+H3+G3+F3+E3</f>
        <v>6779311</v>
      </c>
      <c r="M3" s="176"/>
    </row>
    <row r="4" spans="1:13" ht="16.5" customHeight="1" x14ac:dyDescent="0.25">
      <c r="A4" s="163" t="s">
        <v>65</v>
      </c>
      <c r="B4" s="164"/>
      <c r="C4" s="165" t="s">
        <v>207</v>
      </c>
      <c r="D4" s="169">
        <v>3347065.442266529</v>
      </c>
      <c r="E4" s="169">
        <v>2590656.9487999999</v>
      </c>
      <c r="F4" s="169">
        <v>140566.81200000001</v>
      </c>
      <c r="G4" s="169">
        <v>19899.630799999999</v>
      </c>
      <c r="H4" s="169">
        <v>161314.02840000001</v>
      </c>
      <c r="I4" s="169">
        <v>40340.124766529072</v>
      </c>
      <c r="J4" s="169">
        <v>394287.89750000002</v>
      </c>
      <c r="K4" s="169"/>
      <c r="L4" s="170">
        <f t="shared" si="0"/>
        <v>3347065.442266529</v>
      </c>
      <c r="M4" s="176"/>
    </row>
    <row r="5" spans="1:13" ht="18.75" customHeight="1" x14ac:dyDescent="0.25">
      <c r="A5" s="163" t="s">
        <v>66</v>
      </c>
      <c r="B5" s="164"/>
      <c r="C5" s="165" t="s">
        <v>208</v>
      </c>
      <c r="D5" s="169">
        <v>3957002</v>
      </c>
      <c r="E5" s="169">
        <v>2610198.1176999998</v>
      </c>
      <c r="F5" s="169">
        <v>216617.05559000027</v>
      </c>
      <c r="G5" s="169">
        <v>65373.638199999928</v>
      </c>
      <c r="H5" s="169">
        <v>132800.9553</v>
      </c>
      <c r="I5" s="169">
        <v>898765.23321000009</v>
      </c>
      <c r="J5" s="169">
        <v>33247</v>
      </c>
      <c r="K5" s="169"/>
      <c r="L5" s="170">
        <f t="shared" si="0"/>
        <v>3957002</v>
      </c>
      <c r="M5" s="176"/>
    </row>
    <row r="6" spans="1:13" ht="26.25" customHeight="1" x14ac:dyDescent="0.25">
      <c r="A6" s="163" t="s">
        <v>64</v>
      </c>
      <c r="B6" s="164"/>
      <c r="C6" s="165" t="s">
        <v>207</v>
      </c>
      <c r="D6" s="169">
        <v>2556578</v>
      </c>
      <c r="E6" s="169">
        <v>1683250.9552000002</v>
      </c>
      <c r="F6" s="169">
        <v>237712.80499999999</v>
      </c>
      <c r="G6" s="169">
        <v>1070.4177500000224</v>
      </c>
      <c r="H6" s="169">
        <v>194760.11204000001</v>
      </c>
      <c r="I6" s="169">
        <v>389649.21542999952</v>
      </c>
      <c r="J6" s="169">
        <v>50134.494580000006</v>
      </c>
      <c r="K6" s="169"/>
      <c r="L6" s="170">
        <f t="shared" si="0"/>
        <v>2556578</v>
      </c>
      <c r="M6" s="176"/>
    </row>
    <row r="7" spans="1:13" ht="23.25" customHeight="1" x14ac:dyDescent="0.25">
      <c r="A7" s="163" t="s">
        <v>374</v>
      </c>
      <c r="B7" s="164" t="s">
        <v>375</v>
      </c>
      <c r="C7" s="165" t="s">
        <v>209</v>
      </c>
      <c r="D7" s="169">
        <v>206831374.80000001</v>
      </c>
      <c r="E7" s="169">
        <v>149853737.37983763</v>
      </c>
      <c r="F7" s="169">
        <v>13506871.52688</v>
      </c>
      <c r="G7" s="169">
        <v>2313105.8827199996</v>
      </c>
      <c r="H7" s="169">
        <v>14557794.511400001</v>
      </c>
      <c r="I7" s="169">
        <v>12096444.468512399</v>
      </c>
      <c r="J7" s="169">
        <v>11068337.030650001</v>
      </c>
      <c r="K7" s="169">
        <v>3435084</v>
      </c>
      <c r="L7" s="170">
        <f t="shared" si="0"/>
        <v>206831374.80000001</v>
      </c>
      <c r="M7" s="176"/>
    </row>
    <row r="8" spans="1:13" ht="22.5" customHeight="1" x14ac:dyDescent="0.25">
      <c r="A8" s="163" t="s">
        <v>388</v>
      </c>
      <c r="B8" s="164"/>
      <c r="C8" s="165" t="s">
        <v>389</v>
      </c>
      <c r="D8" s="169">
        <f t="shared" ref="D8:K8" si="1">SUM(D3:D7)</f>
        <v>223471331.24226654</v>
      </c>
      <c r="E8" s="169">
        <f t="shared" si="1"/>
        <v>157264619.28653765</v>
      </c>
      <c r="F8" s="169">
        <f t="shared" si="1"/>
        <v>14558559.62497</v>
      </c>
      <c r="G8" s="169">
        <f t="shared" si="1"/>
        <v>2430354.9877300002</v>
      </c>
      <c r="H8" s="169">
        <f t="shared" si="1"/>
        <v>15198285.484540001</v>
      </c>
      <c r="I8" s="169">
        <f t="shared" si="1"/>
        <v>14755401.590218928</v>
      </c>
      <c r="J8" s="169">
        <f t="shared" si="1"/>
        <v>15181806.997270001</v>
      </c>
      <c r="K8" s="169">
        <f t="shared" si="1"/>
        <v>4082303.2709999997</v>
      </c>
      <c r="L8" s="170">
        <f t="shared" si="0"/>
        <v>223471331.2422666</v>
      </c>
      <c r="M8" s="176"/>
    </row>
    <row r="9" spans="1:13" ht="26.25" customHeight="1" x14ac:dyDescent="0.25">
      <c r="A9" s="163" t="s">
        <v>374</v>
      </c>
      <c r="B9" s="166" t="s">
        <v>376</v>
      </c>
      <c r="C9" s="165" t="s">
        <v>209</v>
      </c>
      <c r="D9" s="169">
        <v>36237348.757733405</v>
      </c>
      <c r="E9" s="169">
        <v>3433740.7577334046</v>
      </c>
      <c r="F9" s="169">
        <v>3154566</v>
      </c>
      <c r="G9" s="169"/>
      <c r="H9" s="169"/>
      <c r="I9" s="169">
        <v>23249042</v>
      </c>
      <c r="J9" s="169">
        <v>6400000</v>
      </c>
      <c r="K9" s="169"/>
      <c r="L9" s="170">
        <f t="shared" si="0"/>
        <v>36237348.757733405</v>
      </c>
      <c r="M9" s="176"/>
    </row>
    <row r="10" spans="1:13" ht="27.75" customHeight="1" x14ac:dyDescent="0.25">
      <c r="A10" s="167"/>
      <c r="B10" s="193"/>
      <c r="C10" s="194" t="s">
        <v>377</v>
      </c>
      <c r="D10" s="169">
        <f>E10+F10+G10+H10+I10+J10+K10</f>
        <v>259708679.99999997</v>
      </c>
      <c r="E10" s="169">
        <f t="shared" ref="E10:K10" si="2">E8+E9</f>
        <v>160698360.04427105</v>
      </c>
      <c r="F10" s="169">
        <f t="shared" si="2"/>
        <v>17713125.62497</v>
      </c>
      <c r="G10" s="169">
        <f t="shared" si="2"/>
        <v>2430354.9877300002</v>
      </c>
      <c r="H10" s="169">
        <f t="shared" si="2"/>
        <v>15198285.484540001</v>
      </c>
      <c r="I10" s="169">
        <f t="shared" si="2"/>
        <v>38004443.590218931</v>
      </c>
      <c r="J10" s="169">
        <f t="shared" si="2"/>
        <v>21581806.997270003</v>
      </c>
      <c r="K10" s="169">
        <f t="shared" si="2"/>
        <v>4082303.2709999997</v>
      </c>
      <c r="L10" s="195">
        <f t="shared" si="0"/>
        <v>259708680</v>
      </c>
      <c r="M10" s="176"/>
    </row>
    <row r="11" spans="1:13" ht="28.5" customHeight="1" x14ac:dyDescent="0.25">
      <c r="A11" s="163"/>
      <c r="B11" s="193"/>
      <c r="C11" s="196" t="s">
        <v>378</v>
      </c>
      <c r="D11" s="169">
        <v>7082931</v>
      </c>
      <c r="E11" s="169">
        <v>3438744</v>
      </c>
      <c r="F11" s="169">
        <v>26607</v>
      </c>
      <c r="G11" s="169"/>
      <c r="H11" s="169"/>
      <c r="I11" s="169"/>
      <c r="J11" s="169">
        <v>3617580</v>
      </c>
      <c r="K11" s="169"/>
      <c r="L11" s="195">
        <f>J11+F11+E11</f>
        <v>7082931</v>
      </c>
      <c r="M11" s="176"/>
    </row>
    <row r="12" spans="1:13" ht="26.25" customHeight="1" x14ac:dyDescent="0.25">
      <c r="A12" s="163" t="s">
        <v>379</v>
      </c>
      <c r="B12" s="164"/>
      <c r="C12" s="165" t="s">
        <v>212</v>
      </c>
      <c r="D12" s="169">
        <v>649677</v>
      </c>
      <c r="E12" s="169">
        <v>607179.22955004498</v>
      </c>
      <c r="F12" s="169">
        <v>42497.770449955016</v>
      </c>
      <c r="G12" s="169"/>
      <c r="H12" s="169"/>
      <c r="I12" s="169"/>
      <c r="J12" s="169"/>
      <c r="K12" s="169"/>
      <c r="L12" s="170">
        <f>F12+E12</f>
        <v>649677</v>
      </c>
      <c r="M12" s="176"/>
    </row>
    <row r="13" spans="1:13" ht="26.25" customHeight="1" x14ac:dyDescent="0.25">
      <c r="A13" s="163" t="s">
        <v>380</v>
      </c>
      <c r="B13" s="164"/>
      <c r="C13" s="165" t="s">
        <v>214</v>
      </c>
      <c r="D13" s="169">
        <v>22151690</v>
      </c>
      <c r="E13" s="169">
        <v>5960032.9139123447</v>
      </c>
      <c r="F13" s="169">
        <v>3329279.2445800453</v>
      </c>
      <c r="G13" s="169">
        <v>541173.57226999989</v>
      </c>
      <c r="H13" s="169">
        <v>4402350.0954599977</v>
      </c>
      <c r="I13" s="169">
        <v>6029778.8520476017</v>
      </c>
      <c r="J13" s="169">
        <v>1889075.7927299961</v>
      </c>
      <c r="K13" s="169"/>
      <c r="L13" s="171">
        <f>J13+I13+H13+G13+F13+E13</f>
        <v>22151690.470999986</v>
      </c>
      <c r="M13" s="176"/>
    </row>
    <row r="14" spans="1:13" ht="27.75" customHeight="1" x14ac:dyDescent="0.25">
      <c r="A14" s="163" t="s">
        <v>381</v>
      </c>
      <c r="B14" s="164"/>
      <c r="C14" s="165"/>
      <c r="D14" s="169">
        <v>22801367</v>
      </c>
      <c r="E14" s="169">
        <v>6567212.1434623897</v>
      </c>
      <c r="F14" s="169">
        <v>3371777.0150300004</v>
      </c>
      <c r="G14" s="169">
        <v>541173.57226999989</v>
      </c>
      <c r="H14" s="169">
        <v>4402350.0954599977</v>
      </c>
      <c r="I14" s="169">
        <v>6029778.8520476017</v>
      </c>
      <c r="J14" s="169">
        <v>1889075.7927299961</v>
      </c>
      <c r="K14" s="169"/>
      <c r="L14" s="171">
        <f>J14+I14+H14+G14+F14+E14</f>
        <v>22801367.470999986</v>
      </c>
      <c r="M14" s="176"/>
    </row>
    <row r="15" spans="1:13" ht="45.75" customHeight="1" x14ac:dyDescent="0.25">
      <c r="A15" s="167"/>
      <c r="B15" s="166" t="s">
        <v>382</v>
      </c>
      <c r="C15" s="194" t="s">
        <v>391</v>
      </c>
      <c r="D15" s="169">
        <f t="shared" ref="D15:J15" si="3">D10+D11+D12+D13</f>
        <v>289592978</v>
      </c>
      <c r="E15" s="169">
        <f t="shared" si="3"/>
        <v>170704316.18773344</v>
      </c>
      <c r="F15" s="169">
        <f t="shared" si="3"/>
        <v>21111509.640000001</v>
      </c>
      <c r="G15" s="169">
        <f t="shared" si="3"/>
        <v>2971528.56</v>
      </c>
      <c r="H15" s="169">
        <f t="shared" si="3"/>
        <v>19600635.579999998</v>
      </c>
      <c r="I15" s="169">
        <f t="shared" si="3"/>
        <v>44034222.442266531</v>
      </c>
      <c r="J15" s="169">
        <f t="shared" si="3"/>
        <v>27088462.789999999</v>
      </c>
      <c r="K15" s="169">
        <f t="shared" ref="K15" si="4">K14+K11+K10</f>
        <v>4082303.2709999997</v>
      </c>
      <c r="L15" s="195">
        <f>K15+J15+I15+H15+G15+F15+E15</f>
        <v>289592978.47099996</v>
      </c>
      <c r="M15" s="176"/>
    </row>
    <row r="16" spans="1:13" ht="33.75" customHeight="1" x14ac:dyDescent="0.25">
      <c r="A16" s="163" t="s">
        <v>383</v>
      </c>
      <c r="B16" s="164"/>
      <c r="C16" s="165"/>
      <c r="D16" s="169">
        <v>143010764</v>
      </c>
      <c r="E16" s="169">
        <v>17725466.90513476</v>
      </c>
      <c r="F16" s="169">
        <v>2580915.5199709311</v>
      </c>
      <c r="G16" s="169">
        <v>989138.04002643609</v>
      </c>
      <c r="H16" s="169">
        <v>21435310.722432598</v>
      </c>
      <c r="I16" s="169">
        <v>97435513.039619997</v>
      </c>
      <c r="J16" s="169">
        <v>2844419.772815268</v>
      </c>
      <c r="K16" s="169"/>
      <c r="L16" s="170">
        <f>J16+I16+H16+G16+F16+E16</f>
        <v>143010764</v>
      </c>
      <c r="M16" s="176"/>
    </row>
    <row r="17" spans="1:13" ht="26.25" customHeight="1" x14ac:dyDescent="0.25">
      <c r="A17" s="167"/>
      <c r="B17" s="193"/>
      <c r="C17" s="197" t="s">
        <v>384</v>
      </c>
      <c r="D17" s="169">
        <f t="shared" ref="D17:J17" si="5">D16+D14</f>
        <v>165812131</v>
      </c>
      <c r="E17" s="169">
        <f t="shared" si="5"/>
        <v>24292679.04859715</v>
      </c>
      <c r="F17" s="169">
        <f t="shared" si="5"/>
        <v>5952692.5350009315</v>
      </c>
      <c r="G17" s="169">
        <f t="shared" si="5"/>
        <v>1530311.612296436</v>
      </c>
      <c r="H17" s="169">
        <f t="shared" si="5"/>
        <v>25837660.817892596</v>
      </c>
      <c r="I17" s="169">
        <f t="shared" si="5"/>
        <v>103465291.8916676</v>
      </c>
      <c r="J17" s="169">
        <f t="shared" si="5"/>
        <v>4733495.5655452646</v>
      </c>
      <c r="K17" s="169"/>
      <c r="L17" s="198">
        <f>J17+I17+H17+G17+F17+E17</f>
        <v>165812131.47099999</v>
      </c>
      <c r="M17" s="176"/>
    </row>
    <row r="18" spans="1:13" ht="30" customHeight="1" x14ac:dyDescent="0.25">
      <c r="A18" s="172" t="s">
        <v>385</v>
      </c>
      <c r="B18" s="199" t="s">
        <v>386</v>
      </c>
      <c r="C18" s="197" t="s">
        <v>387</v>
      </c>
      <c r="D18" s="169">
        <v>172895062.00000003</v>
      </c>
      <c r="E18" s="169">
        <v>27099161.290863723</v>
      </c>
      <c r="F18" s="169">
        <v>5979299.5350009315</v>
      </c>
      <c r="G18" s="169">
        <v>1530311.612296436</v>
      </c>
      <c r="H18" s="169">
        <v>25837660.817892596</v>
      </c>
      <c r="I18" s="169">
        <v>103432044.44940108</v>
      </c>
      <c r="J18" s="169">
        <v>9016584.5655452646</v>
      </c>
      <c r="K18" s="169"/>
      <c r="L18" s="195">
        <v>172895062.27100003</v>
      </c>
      <c r="M18" s="176"/>
    </row>
    <row r="19" spans="1:13" s="330" customFormat="1" ht="40.5" customHeight="1" thickBot="1" x14ac:dyDescent="0.3">
      <c r="A19" s="328" t="s">
        <v>56</v>
      </c>
      <c r="B19" s="331"/>
      <c r="C19" s="331" t="s">
        <v>392</v>
      </c>
      <c r="D19" s="332">
        <v>432603742</v>
      </c>
      <c r="E19" s="332">
        <v>187797521.33513477</v>
      </c>
      <c r="F19" s="332">
        <v>23692425.159970932</v>
      </c>
      <c r="G19" s="332">
        <v>3960666.6000264362</v>
      </c>
      <c r="H19" s="332">
        <v>41035946.302432597</v>
      </c>
      <c r="I19" s="332">
        <v>141436488.03962001</v>
      </c>
      <c r="J19" s="332">
        <v>30598391.562815268</v>
      </c>
      <c r="K19" s="332">
        <v>4082303</v>
      </c>
      <c r="L19" s="333">
        <f>K19+J19+I19+H19+G19+F19+E19</f>
        <v>432603742</v>
      </c>
      <c r="M19" s="329"/>
    </row>
    <row r="20" spans="1:13" x14ac:dyDescent="0.25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64"/>
  <sheetViews>
    <sheetView tabSelected="1" workbookViewId="0">
      <selection activeCell="AB125" sqref="AB125"/>
    </sheetView>
  </sheetViews>
  <sheetFormatPr defaultRowHeight="12.75" x14ac:dyDescent="0.25"/>
  <cols>
    <col min="1" max="1" width="7.85546875" style="152" customWidth="1"/>
    <col min="2" max="2" width="32.5703125" style="91" customWidth="1"/>
    <col min="3" max="4" width="5.7109375" style="153" customWidth="1"/>
    <col min="5" max="5" width="6.42578125" style="153" customWidth="1"/>
    <col min="6" max="6" width="6" style="153" customWidth="1"/>
    <col min="7" max="7" width="5.85546875" style="153" customWidth="1"/>
    <col min="8" max="8" width="5.28515625" style="91" customWidth="1"/>
    <col min="9" max="9" width="5.42578125" style="91" customWidth="1"/>
    <col min="10" max="10" width="5.5703125" style="91" customWidth="1"/>
    <col min="11" max="11" width="6.5703125" style="91" customWidth="1"/>
    <col min="12" max="12" width="3.85546875" style="91" customWidth="1"/>
    <col min="13" max="13" width="6.85546875" style="91" customWidth="1"/>
    <col min="14" max="14" width="10.7109375" style="91" customWidth="1"/>
    <col min="15" max="17" width="7.28515625" style="91" customWidth="1"/>
    <col min="18" max="21" width="7.28515625" style="90" customWidth="1"/>
    <col min="22" max="22" width="7.28515625" style="91" customWidth="1"/>
    <col min="23" max="23" width="6.140625" style="91" customWidth="1"/>
    <col min="24" max="24" width="6.28515625" style="91" customWidth="1"/>
    <col min="25" max="25" width="6.85546875" style="91" customWidth="1"/>
    <col min="26" max="26" width="7.42578125" style="91" customWidth="1"/>
    <col min="27" max="41" width="10.7109375" style="91" customWidth="1"/>
    <col min="42" max="222" width="9.140625" style="91"/>
    <col min="223" max="223" width="7.85546875" style="91" customWidth="1"/>
    <col min="224" max="224" width="32.5703125" style="91" customWidth="1"/>
    <col min="225" max="225" width="4.42578125" style="91" customWidth="1"/>
    <col min="226" max="226" width="6.28515625" style="91" customWidth="1"/>
    <col min="227" max="227" width="8.28515625" style="91" customWidth="1"/>
    <col min="228" max="228" width="10.28515625" style="91" customWidth="1"/>
    <col min="229" max="229" width="8.28515625" style="91" customWidth="1"/>
    <col min="230" max="230" width="5" style="91" customWidth="1"/>
    <col min="231" max="231" width="5.85546875" style="91" customWidth="1"/>
    <col min="232" max="235" width="8.28515625" style="91" customWidth="1"/>
    <col min="236" max="236" width="7.5703125" style="91" customWidth="1"/>
    <col min="237" max="242" width="10.5703125" style="91" customWidth="1"/>
    <col min="243" max="243" width="8.42578125" style="91" customWidth="1"/>
    <col min="244" max="244" width="9.5703125" style="91" customWidth="1"/>
    <col min="245" max="246" width="9.140625" style="91"/>
    <col min="247" max="247" width="32.7109375" style="91" customWidth="1"/>
    <col min="248" max="478" width="9.140625" style="91"/>
    <col min="479" max="479" width="7.85546875" style="91" customWidth="1"/>
    <col min="480" max="480" width="32.5703125" style="91" customWidth="1"/>
    <col min="481" max="481" width="4.42578125" style="91" customWidth="1"/>
    <col min="482" max="482" width="6.28515625" style="91" customWidth="1"/>
    <col min="483" max="483" width="8.28515625" style="91" customWidth="1"/>
    <col min="484" max="484" width="10.28515625" style="91" customWidth="1"/>
    <col min="485" max="485" width="8.28515625" style="91" customWidth="1"/>
    <col min="486" max="486" width="5" style="91" customWidth="1"/>
    <col min="487" max="487" width="5.85546875" style="91" customWidth="1"/>
    <col min="488" max="491" width="8.28515625" style="91" customWidth="1"/>
    <col min="492" max="492" width="7.5703125" style="91" customWidth="1"/>
    <col min="493" max="498" width="10.5703125" style="91" customWidth="1"/>
    <col min="499" max="499" width="8.42578125" style="91" customWidth="1"/>
    <col min="500" max="500" width="9.5703125" style="91" customWidth="1"/>
    <col min="501" max="502" width="9.140625" style="91"/>
    <col min="503" max="503" width="32.7109375" style="91" customWidth="1"/>
    <col min="504" max="734" width="9.140625" style="91"/>
    <col min="735" max="735" width="7.85546875" style="91" customWidth="1"/>
    <col min="736" max="736" width="32.5703125" style="91" customWidth="1"/>
    <col min="737" max="737" width="4.42578125" style="91" customWidth="1"/>
    <col min="738" max="738" width="6.28515625" style="91" customWidth="1"/>
    <col min="739" max="739" width="8.28515625" style="91" customWidth="1"/>
    <col min="740" max="740" width="10.28515625" style="91" customWidth="1"/>
    <col min="741" max="741" width="8.28515625" style="91" customWidth="1"/>
    <col min="742" max="742" width="5" style="91" customWidth="1"/>
    <col min="743" max="743" width="5.85546875" style="91" customWidth="1"/>
    <col min="744" max="747" width="8.28515625" style="91" customWidth="1"/>
    <col min="748" max="748" width="7.5703125" style="91" customWidth="1"/>
    <col min="749" max="754" width="10.5703125" style="91" customWidth="1"/>
    <col min="755" max="755" width="8.42578125" style="91" customWidth="1"/>
    <col min="756" max="756" width="9.5703125" style="91" customWidth="1"/>
    <col min="757" max="758" width="9.140625" style="91"/>
    <col min="759" max="759" width="32.7109375" style="91" customWidth="1"/>
    <col min="760" max="990" width="9.140625" style="91"/>
    <col min="991" max="991" width="7.85546875" style="91" customWidth="1"/>
    <col min="992" max="992" width="32.5703125" style="91" customWidth="1"/>
    <col min="993" max="993" width="4.42578125" style="91" customWidth="1"/>
    <col min="994" max="994" width="6.28515625" style="91" customWidth="1"/>
    <col min="995" max="995" width="8.28515625" style="91" customWidth="1"/>
    <col min="996" max="996" width="10.28515625" style="91" customWidth="1"/>
    <col min="997" max="997" width="8.28515625" style="91" customWidth="1"/>
    <col min="998" max="998" width="5" style="91" customWidth="1"/>
    <col min="999" max="999" width="5.85546875" style="91" customWidth="1"/>
    <col min="1000" max="1003" width="8.28515625" style="91" customWidth="1"/>
    <col min="1004" max="1004" width="7.5703125" style="91" customWidth="1"/>
    <col min="1005" max="1010" width="10.5703125" style="91" customWidth="1"/>
    <col min="1011" max="1011" width="8.42578125" style="91" customWidth="1"/>
    <col min="1012" max="1012" width="9.5703125" style="91" customWidth="1"/>
    <col min="1013" max="1014" width="9.140625" style="91"/>
    <col min="1015" max="1015" width="32.7109375" style="91" customWidth="1"/>
    <col min="1016" max="1246" width="9.140625" style="91"/>
    <col min="1247" max="1247" width="7.85546875" style="91" customWidth="1"/>
    <col min="1248" max="1248" width="32.5703125" style="91" customWidth="1"/>
    <col min="1249" max="1249" width="4.42578125" style="91" customWidth="1"/>
    <col min="1250" max="1250" width="6.28515625" style="91" customWidth="1"/>
    <col min="1251" max="1251" width="8.28515625" style="91" customWidth="1"/>
    <col min="1252" max="1252" width="10.28515625" style="91" customWidth="1"/>
    <col min="1253" max="1253" width="8.28515625" style="91" customWidth="1"/>
    <col min="1254" max="1254" width="5" style="91" customWidth="1"/>
    <col min="1255" max="1255" width="5.85546875" style="91" customWidth="1"/>
    <col min="1256" max="1259" width="8.28515625" style="91" customWidth="1"/>
    <col min="1260" max="1260" width="7.5703125" style="91" customWidth="1"/>
    <col min="1261" max="1266" width="10.5703125" style="91" customWidth="1"/>
    <col min="1267" max="1267" width="8.42578125" style="91" customWidth="1"/>
    <col min="1268" max="1268" width="9.5703125" style="91" customWidth="1"/>
    <col min="1269" max="1270" width="9.140625" style="91"/>
    <col min="1271" max="1271" width="32.7109375" style="91" customWidth="1"/>
    <col min="1272" max="1502" width="9.140625" style="91"/>
    <col min="1503" max="1503" width="7.85546875" style="91" customWidth="1"/>
    <col min="1504" max="1504" width="32.5703125" style="91" customWidth="1"/>
    <col min="1505" max="1505" width="4.42578125" style="91" customWidth="1"/>
    <col min="1506" max="1506" width="6.28515625" style="91" customWidth="1"/>
    <col min="1507" max="1507" width="8.28515625" style="91" customWidth="1"/>
    <col min="1508" max="1508" width="10.28515625" style="91" customWidth="1"/>
    <col min="1509" max="1509" width="8.28515625" style="91" customWidth="1"/>
    <col min="1510" max="1510" width="5" style="91" customWidth="1"/>
    <col min="1511" max="1511" width="5.85546875" style="91" customWidth="1"/>
    <col min="1512" max="1515" width="8.28515625" style="91" customWidth="1"/>
    <col min="1516" max="1516" width="7.5703125" style="91" customWidth="1"/>
    <col min="1517" max="1522" width="10.5703125" style="91" customWidth="1"/>
    <col min="1523" max="1523" width="8.42578125" style="91" customWidth="1"/>
    <col min="1524" max="1524" width="9.5703125" style="91" customWidth="1"/>
    <col min="1525" max="1526" width="9.140625" style="91"/>
    <col min="1527" max="1527" width="32.7109375" style="91" customWidth="1"/>
    <col min="1528" max="1758" width="9.140625" style="91"/>
    <col min="1759" max="1759" width="7.85546875" style="91" customWidth="1"/>
    <col min="1760" max="1760" width="32.5703125" style="91" customWidth="1"/>
    <col min="1761" max="1761" width="4.42578125" style="91" customWidth="1"/>
    <col min="1762" max="1762" width="6.28515625" style="91" customWidth="1"/>
    <col min="1763" max="1763" width="8.28515625" style="91" customWidth="1"/>
    <col min="1764" max="1764" width="10.28515625" style="91" customWidth="1"/>
    <col min="1765" max="1765" width="8.28515625" style="91" customWidth="1"/>
    <col min="1766" max="1766" width="5" style="91" customWidth="1"/>
    <col min="1767" max="1767" width="5.85546875" style="91" customWidth="1"/>
    <col min="1768" max="1771" width="8.28515625" style="91" customWidth="1"/>
    <col min="1772" max="1772" width="7.5703125" style="91" customWidth="1"/>
    <col min="1773" max="1778" width="10.5703125" style="91" customWidth="1"/>
    <col min="1779" max="1779" width="8.42578125" style="91" customWidth="1"/>
    <col min="1780" max="1780" width="9.5703125" style="91" customWidth="1"/>
    <col min="1781" max="1782" width="9.140625" style="91"/>
    <col min="1783" max="1783" width="32.7109375" style="91" customWidth="1"/>
    <col min="1784" max="2014" width="9.140625" style="91"/>
    <col min="2015" max="2015" width="7.85546875" style="91" customWidth="1"/>
    <col min="2016" max="2016" width="32.5703125" style="91" customWidth="1"/>
    <col min="2017" max="2017" width="4.42578125" style="91" customWidth="1"/>
    <col min="2018" max="2018" width="6.28515625" style="91" customWidth="1"/>
    <col min="2019" max="2019" width="8.28515625" style="91" customWidth="1"/>
    <col min="2020" max="2020" width="10.28515625" style="91" customWidth="1"/>
    <col min="2021" max="2021" width="8.28515625" style="91" customWidth="1"/>
    <col min="2022" max="2022" width="5" style="91" customWidth="1"/>
    <col min="2023" max="2023" width="5.85546875" style="91" customWidth="1"/>
    <col min="2024" max="2027" width="8.28515625" style="91" customWidth="1"/>
    <col min="2028" max="2028" width="7.5703125" style="91" customWidth="1"/>
    <col min="2029" max="2034" width="10.5703125" style="91" customWidth="1"/>
    <col min="2035" max="2035" width="8.42578125" style="91" customWidth="1"/>
    <col min="2036" max="2036" width="9.5703125" style="91" customWidth="1"/>
    <col min="2037" max="2038" width="9.140625" style="91"/>
    <col min="2039" max="2039" width="32.7109375" style="91" customWidth="1"/>
    <col min="2040" max="2270" width="9.140625" style="91"/>
    <col min="2271" max="2271" width="7.85546875" style="91" customWidth="1"/>
    <col min="2272" max="2272" width="32.5703125" style="91" customWidth="1"/>
    <col min="2273" max="2273" width="4.42578125" style="91" customWidth="1"/>
    <col min="2274" max="2274" width="6.28515625" style="91" customWidth="1"/>
    <col min="2275" max="2275" width="8.28515625" style="91" customWidth="1"/>
    <col min="2276" max="2276" width="10.28515625" style="91" customWidth="1"/>
    <col min="2277" max="2277" width="8.28515625" style="91" customWidth="1"/>
    <col min="2278" max="2278" width="5" style="91" customWidth="1"/>
    <col min="2279" max="2279" width="5.85546875" style="91" customWidth="1"/>
    <col min="2280" max="2283" width="8.28515625" style="91" customWidth="1"/>
    <col min="2284" max="2284" width="7.5703125" style="91" customWidth="1"/>
    <col min="2285" max="2290" width="10.5703125" style="91" customWidth="1"/>
    <col min="2291" max="2291" width="8.42578125" style="91" customWidth="1"/>
    <col min="2292" max="2292" width="9.5703125" style="91" customWidth="1"/>
    <col min="2293" max="2294" width="9.140625" style="91"/>
    <col min="2295" max="2295" width="32.7109375" style="91" customWidth="1"/>
    <col min="2296" max="2526" width="9.140625" style="91"/>
    <col min="2527" max="2527" width="7.85546875" style="91" customWidth="1"/>
    <col min="2528" max="2528" width="32.5703125" style="91" customWidth="1"/>
    <col min="2529" max="2529" width="4.42578125" style="91" customWidth="1"/>
    <col min="2530" max="2530" width="6.28515625" style="91" customWidth="1"/>
    <col min="2531" max="2531" width="8.28515625" style="91" customWidth="1"/>
    <col min="2532" max="2532" width="10.28515625" style="91" customWidth="1"/>
    <col min="2533" max="2533" width="8.28515625" style="91" customWidth="1"/>
    <col min="2534" max="2534" width="5" style="91" customWidth="1"/>
    <col min="2535" max="2535" width="5.85546875" style="91" customWidth="1"/>
    <col min="2536" max="2539" width="8.28515625" style="91" customWidth="1"/>
    <col min="2540" max="2540" width="7.5703125" style="91" customWidth="1"/>
    <col min="2541" max="2546" width="10.5703125" style="91" customWidth="1"/>
    <col min="2547" max="2547" width="8.42578125" style="91" customWidth="1"/>
    <col min="2548" max="2548" width="9.5703125" style="91" customWidth="1"/>
    <col min="2549" max="2550" width="9.140625" style="91"/>
    <col min="2551" max="2551" width="32.7109375" style="91" customWidth="1"/>
    <col min="2552" max="2782" width="9.140625" style="91"/>
    <col min="2783" max="2783" width="7.85546875" style="91" customWidth="1"/>
    <col min="2784" max="2784" width="32.5703125" style="91" customWidth="1"/>
    <col min="2785" max="2785" width="4.42578125" style="91" customWidth="1"/>
    <col min="2786" max="2786" width="6.28515625" style="91" customWidth="1"/>
    <col min="2787" max="2787" width="8.28515625" style="91" customWidth="1"/>
    <col min="2788" max="2788" width="10.28515625" style="91" customWidth="1"/>
    <col min="2789" max="2789" width="8.28515625" style="91" customWidth="1"/>
    <col min="2790" max="2790" width="5" style="91" customWidth="1"/>
    <col min="2791" max="2791" width="5.85546875" style="91" customWidth="1"/>
    <col min="2792" max="2795" width="8.28515625" style="91" customWidth="1"/>
    <col min="2796" max="2796" width="7.5703125" style="91" customWidth="1"/>
    <col min="2797" max="2802" width="10.5703125" style="91" customWidth="1"/>
    <col min="2803" max="2803" width="8.42578125" style="91" customWidth="1"/>
    <col min="2804" max="2804" width="9.5703125" style="91" customWidth="1"/>
    <col min="2805" max="2806" width="9.140625" style="91"/>
    <col min="2807" max="2807" width="32.7109375" style="91" customWidth="1"/>
    <col min="2808" max="3038" width="9.140625" style="91"/>
    <col min="3039" max="3039" width="7.85546875" style="91" customWidth="1"/>
    <col min="3040" max="3040" width="32.5703125" style="91" customWidth="1"/>
    <col min="3041" max="3041" width="4.42578125" style="91" customWidth="1"/>
    <col min="3042" max="3042" width="6.28515625" style="91" customWidth="1"/>
    <col min="3043" max="3043" width="8.28515625" style="91" customWidth="1"/>
    <col min="3044" max="3044" width="10.28515625" style="91" customWidth="1"/>
    <col min="3045" max="3045" width="8.28515625" style="91" customWidth="1"/>
    <col min="3046" max="3046" width="5" style="91" customWidth="1"/>
    <col min="3047" max="3047" width="5.85546875" style="91" customWidth="1"/>
    <col min="3048" max="3051" width="8.28515625" style="91" customWidth="1"/>
    <col min="3052" max="3052" width="7.5703125" style="91" customWidth="1"/>
    <col min="3053" max="3058" width="10.5703125" style="91" customWidth="1"/>
    <col min="3059" max="3059" width="8.42578125" style="91" customWidth="1"/>
    <col min="3060" max="3060" width="9.5703125" style="91" customWidth="1"/>
    <col min="3061" max="3062" width="9.140625" style="91"/>
    <col min="3063" max="3063" width="32.7109375" style="91" customWidth="1"/>
    <col min="3064" max="3294" width="9.140625" style="91"/>
    <col min="3295" max="3295" width="7.85546875" style="91" customWidth="1"/>
    <col min="3296" max="3296" width="32.5703125" style="91" customWidth="1"/>
    <col min="3297" max="3297" width="4.42578125" style="91" customWidth="1"/>
    <col min="3298" max="3298" width="6.28515625" style="91" customWidth="1"/>
    <col min="3299" max="3299" width="8.28515625" style="91" customWidth="1"/>
    <col min="3300" max="3300" width="10.28515625" style="91" customWidth="1"/>
    <col min="3301" max="3301" width="8.28515625" style="91" customWidth="1"/>
    <col min="3302" max="3302" width="5" style="91" customWidth="1"/>
    <col min="3303" max="3303" width="5.85546875" style="91" customWidth="1"/>
    <col min="3304" max="3307" width="8.28515625" style="91" customWidth="1"/>
    <col min="3308" max="3308" width="7.5703125" style="91" customWidth="1"/>
    <col min="3309" max="3314" width="10.5703125" style="91" customWidth="1"/>
    <col min="3315" max="3315" width="8.42578125" style="91" customWidth="1"/>
    <col min="3316" max="3316" width="9.5703125" style="91" customWidth="1"/>
    <col min="3317" max="3318" width="9.140625" style="91"/>
    <col min="3319" max="3319" width="32.7109375" style="91" customWidth="1"/>
    <col min="3320" max="3550" width="9.140625" style="91"/>
    <col min="3551" max="3551" width="7.85546875" style="91" customWidth="1"/>
    <col min="3552" max="3552" width="32.5703125" style="91" customWidth="1"/>
    <col min="3553" max="3553" width="4.42578125" style="91" customWidth="1"/>
    <col min="3554" max="3554" width="6.28515625" style="91" customWidth="1"/>
    <col min="3555" max="3555" width="8.28515625" style="91" customWidth="1"/>
    <col min="3556" max="3556" width="10.28515625" style="91" customWidth="1"/>
    <col min="3557" max="3557" width="8.28515625" style="91" customWidth="1"/>
    <col min="3558" max="3558" width="5" style="91" customWidth="1"/>
    <col min="3559" max="3559" width="5.85546875" style="91" customWidth="1"/>
    <col min="3560" max="3563" width="8.28515625" style="91" customWidth="1"/>
    <col min="3564" max="3564" width="7.5703125" style="91" customWidth="1"/>
    <col min="3565" max="3570" width="10.5703125" style="91" customWidth="1"/>
    <col min="3571" max="3571" width="8.42578125" style="91" customWidth="1"/>
    <col min="3572" max="3572" width="9.5703125" style="91" customWidth="1"/>
    <col min="3573" max="3574" width="9.140625" style="91"/>
    <col min="3575" max="3575" width="32.7109375" style="91" customWidth="1"/>
    <col min="3576" max="3806" width="9.140625" style="91"/>
    <col min="3807" max="3807" width="7.85546875" style="91" customWidth="1"/>
    <col min="3808" max="3808" width="32.5703125" style="91" customWidth="1"/>
    <col min="3809" max="3809" width="4.42578125" style="91" customWidth="1"/>
    <col min="3810" max="3810" width="6.28515625" style="91" customWidth="1"/>
    <col min="3811" max="3811" width="8.28515625" style="91" customWidth="1"/>
    <col min="3812" max="3812" width="10.28515625" style="91" customWidth="1"/>
    <col min="3813" max="3813" width="8.28515625" style="91" customWidth="1"/>
    <col min="3814" max="3814" width="5" style="91" customWidth="1"/>
    <col min="3815" max="3815" width="5.85546875" style="91" customWidth="1"/>
    <col min="3816" max="3819" width="8.28515625" style="91" customWidth="1"/>
    <col min="3820" max="3820" width="7.5703125" style="91" customWidth="1"/>
    <col min="3821" max="3826" width="10.5703125" style="91" customWidth="1"/>
    <col min="3827" max="3827" width="8.42578125" style="91" customWidth="1"/>
    <col min="3828" max="3828" width="9.5703125" style="91" customWidth="1"/>
    <col min="3829" max="3830" width="9.140625" style="91"/>
    <col min="3831" max="3831" width="32.7109375" style="91" customWidth="1"/>
    <col min="3832" max="4062" width="9.140625" style="91"/>
    <col min="4063" max="4063" width="7.85546875" style="91" customWidth="1"/>
    <col min="4064" max="4064" width="32.5703125" style="91" customWidth="1"/>
    <col min="4065" max="4065" width="4.42578125" style="91" customWidth="1"/>
    <col min="4066" max="4066" width="6.28515625" style="91" customWidth="1"/>
    <col min="4067" max="4067" width="8.28515625" style="91" customWidth="1"/>
    <col min="4068" max="4068" width="10.28515625" style="91" customWidth="1"/>
    <col min="4069" max="4069" width="8.28515625" style="91" customWidth="1"/>
    <col min="4070" max="4070" width="5" style="91" customWidth="1"/>
    <col min="4071" max="4071" width="5.85546875" style="91" customWidth="1"/>
    <col min="4072" max="4075" width="8.28515625" style="91" customWidth="1"/>
    <col min="4076" max="4076" width="7.5703125" style="91" customWidth="1"/>
    <col min="4077" max="4082" width="10.5703125" style="91" customWidth="1"/>
    <col min="4083" max="4083" width="8.42578125" style="91" customWidth="1"/>
    <col min="4084" max="4084" width="9.5703125" style="91" customWidth="1"/>
    <col min="4085" max="4086" width="9.140625" style="91"/>
    <col min="4087" max="4087" width="32.7109375" style="91" customWidth="1"/>
    <col min="4088" max="4318" width="9.140625" style="91"/>
    <col min="4319" max="4319" width="7.85546875" style="91" customWidth="1"/>
    <col min="4320" max="4320" width="32.5703125" style="91" customWidth="1"/>
    <col min="4321" max="4321" width="4.42578125" style="91" customWidth="1"/>
    <col min="4322" max="4322" width="6.28515625" style="91" customWidth="1"/>
    <col min="4323" max="4323" width="8.28515625" style="91" customWidth="1"/>
    <col min="4324" max="4324" width="10.28515625" style="91" customWidth="1"/>
    <col min="4325" max="4325" width="8.28515625" style="91" customWidth="1"/>
    <col min="4326" max="4326" width="5" style="91" customWidth="1"/>
    <col min="4327" max="4327" width="5.85546875" style="91" customWidth="1"/>
    <col min="4328" max="4331" width="8.28515625" style="91" customWidth="1"/>
    <col min="4332" max="4332" width="7.5703125" style="91" customWidth="1"/>
    <col min="4333" max="4338" width="10.5703125" style="91" customWidth="1"/>
    <col min="4339" max="4339" width="8.42578125" style="91" customWidth="1"/>
    <col min="4340" max="4340" width="9.5703125" style="91" customWidth="1"/>
    <col min="4341" max="4342" width="9.140625" style="91"/>
    <col min="4343" max="4343" width="32.7109375" style="91" customWidth="1"/>
    <col min="4344" max="4574" width="9.140625" style="91"/>
    <col min="4575" max="4575" width="7.85546875" style="91" customWidth="1"/>
    <col min="4576" max="4576" width="32.5703125" style="91" customWidth="1"/>
    <col min="4577" max="4577" width="4.42578125" style="91" customWidth="1"/>
    <col min="4578" max="4578" width="6.28515625" style="91" customWidth="1"/>
    <col min="4579" max="4579" width="8.28515625" style="91" customWidth="1"/>
    <col min="4580" max="4580" width="10.28515625" style="91" customWidth="1"/>
    <col min="4581" max="4581" width="8.28515625" style="91" customWidth="1"/>
    <col min="4582" max="4582" width="5" style="91" customWidth="1"/>
    <col min="4583" max="4583" width="5.85546875" style="91" customWidth="1"/>
    <col min="4584" max="4587" width="8.28515625" style="91" customWidth="1"/>
    <col min="4588" max="4588" width="7.5703125" style="91" customWidth="1"/>
    <col min="4589" max="4594" width="10.5703125" style="91" customWidth="1"/>
    <col min="4595" max="4595" width="8.42578125" style="91" customWidth="1"/>
    <col min="4596" max="4596" width="9.5703125" style="91" customWidth="1"/>
    <col min="4597" max="4598" width="9.140625" style="91"/>
    <col min="4599" max="4599" width="32.7109375" style="91" customWidth="1"/>
    <col min="4600" max="4830" width="9.140625" style="91"/>
    <col min="4831" max="4831" width="7.85546875" style="91" customWidth="1"/>
    <col min="4832" max="4832" width="32.5703125" style="91" customWidth="1"/>
    <col min="4833" max="4833" width="4.42578125" style="91" customWidth="1"/>
    <col min="4834" max="4834" width="6.28515625" style="91" customWidth="1"/>
    <col min="4835" max="4835" width="8.28515625" style="91" customWidth="1"/>
    <col min="4836" max="4836" width="10.28515625" style="91" customWidth="1"/>
    <col min="4837" max="4837" width="8.28515625" style="91" customWidth="1"/>
    <col min="4838" max="4838" width="5" style="91" customWidth="1"/>
    <col min="4839" max="4839" width="5.85546875" style="91" customWidth="1"/>
    <col min="4840" max="4843" width="8.28515625" style="91" customWidth="1"/>
    <col min="4844" max="4844" width="7.5703125" style="91" customWidth="1"/>
    <col min="4845" max="4850" width="10.5703125" style="91" customWidth="1"/>
    <col min="4851" max="4851" width="8.42578125" style="91" customWidth="1"/>
    <col min="4852" max="4852" width="9.5703125" style="91" customWidth="1"/>
    <col min="4853" max="4854" width="9.140625" style="91"/>
    <col min="4855" max="4855" width="32.7109375" style="91" customWidth="1"/>
    <col min="4856" max="5086" width="9.140625" style="91"/>
    <col min="5087" max="5087" width="7.85546875" style="91" customWidth="1"/>
    <col min="5088" max="5088" width="32.5703125" style="91" customWidth="1"/>
    <col min="5089" max="5089" width="4.42578125" style="91" customWidth="1"/>
    <col min="5090" max="5090" width="6.28515625" style="91" customWidth="1"/>
    <col min="5091" max="5091" width="8.28515625" style="91" customWidth="1"/>
    <col min="5092" max="5092" width="10.28515625" style="91" customWidth="1"/>
    <col min="5093" max="5093" width="8.28515625" style="91" customWidth="1"/>
    <col min="5094" max="5094" width="5" style="91" customWidth="1"/>
    <col min="5095" max="5095" width="5.85546875" style="91" customWidth="1"/>
    <col min="5096" max="5099" width="8.28515625" style="91" customWidth="1"/>
    <col min="5100" max="5100" width="7.5703125" style="91" customWidth="1"/>
    <col min="5101" max="5106" width="10.5703125" style="91" customWidth="1"/>
    <col min="5107" max="5107" width="8.42578125" style="91" customWidth="1"/>
    <col min="5108" max="5108" width="9.5703125" style="91" customWidth="1"/>
    <col min="5109" max="5110" width="9.140625" style="91"/>
    <col min="5111" max="5111" width="32.7109375" style="91" customWidth="1"/>
    <col min="5112" max="5342" width="9.140625" style="91"/>
    <col min="5343" max="5343" width="7.85546875" style="91" customWidth="1"/>
    <col min="5344" max="5344" width="32.5703125" style="91" customWidth="1"/>
    <col min="5345" max="5345" width="4.42578125" style="91" customWidth="1"/>
    <col min="5346" max="5346" width="6.28515625" style="91" customWidth="1"/>
    <col min="5347" max="5347" width="8.28515625" style="91" customWidth="1"/>
    <col min="5348" max="5348" width="10.28515625" style="91" customWidth="1"/>
    <col min="5349" max="5349" width="8.28515625" style="91" customWidth="1"/>
    <col min="5350" max="5350" width="5" style="91" customWidth="1"/>
    <col min="5351" max="5351" width="5.85546875" style="91" customWidth="1"/>
    <col min="5352" max="5355" width="8.28515625" style="91" customWidth="1"/>
    <col min="5356" max="5356" width="7.5703125" style="91" customWidth="1"/>
    <col min="5357" max="5362" width="10.5703125" style="91" customWidth="1"/>
    <col min="5363" max="5363" width="8.42578125" style="91" customWidth="1"/>
    <col min="5364" max="5364" width="9.5703125" style="91" customWidth="1"/>
    <col min="5365" max="5366" width="9.140625" style="91"/>
    <col min="5367" max="5367" width="32.7109375" style="91" customWidth="1"/>
    <col min="5368" max="5598" width="9.140625" style="91"/>
    <col min="5599" max="5599" width="7.85546875" style="91" customWidth="1"/>
    <col min="5600" max="5600" width="32.5703125" style="91" customWidth="1"/>
    <col min="5601" max="5601" width="4.42578125" style="91" customWidth="1"/>
    <col min="5602" max="5602" width="6.28515625" style="91" customWidth="1"/>
    <col min="5603" max="5603" width="8.28515625" style="91" customWidth="1"/>
    <col min="5604" max="5604" width="10.28515625" style="91" customWidth="1"/>
    <col min="5605" max="5605" width="8.28515625" style="91" customWidth="1"/>
    <col min="5606" max="5606" width="5" style="91" customWidth="1"/>
    <col min="5607" max="5607" width="5.85546875" style="91" customWidth="1"/>
    <col min="5608" max="5611" width="8.28515625" style="91" customWidth="1"/>
    <col min="5612" max="5612" width="7.5703125" style="91" customWidth="1"/>
    <col min="5613" max="5618" width="10.5703125" style="91" customWidth="1"/>
    <col min="5619" max="5619" width="8.42578125" style="91" customWidth="1"/>
    <col min="5620" max="5620" width="9.5703125" style="91" customWidth="1"/>
    <col min="5621" max="5622" width="9.140625" style="91"/>
    <col min="5623" max="5623" width="32.7109375" style="91" customWidth="1"/>
    <col min="5624" max="5854" width="9.140625" style="91"/>
    <col min="5855" max="5855" width="7.85546875" style="91" customWidth="1"/>
    <col min="5856" max="5856" width="32.5703125" style="91" customWidth="1"/>
    <col min="5857" max="5857" width="4.42578125" style="91" customWidth="1"/>
    <col min="5858" max="5858" width="6.28515625" style="91" customWidth="1"/>
    <col min="5859" max="5859" width="8.28515625" style="91" customWidth="1"/>
    <col min="5860" max="5860" width="10.28515625" style="91" customWidth="1"/>
    <col min="5861" max="5861" width="8.28515625" style="91" customWidth="1"/>
    <col min="5862" max="5862" width="5" style="91" customWidth="1"/>
    <col min="5863" max="5863" width="5.85546875" style="91" customWidth="1"/>
    <col min="5864" max="5867" width="8.28515625" style="91" customWidth="1"/>
    <col min="5868" max="5868" width="7.5703125" style="91" customWidth="1"/>
    <col min="5869" max="5874" width="10.5703125" style="91" customWidth="1"/>
    <col min="5875" max="5875" width="8.42578125" style="91" customWidth="1"/>
    <col min="5876" max="5876" width="9.5703125" style="91" customWidth="1"/>
    <col min="5877" max="5878" width="9.140625" style="91"/>
    <col min="5879" max="5879" width="32.7109375" style="91" customWidth="1"/>
    <col min="5880" max="6110" width="9.140625" style="91"/>
    <col min="6111" max="6111" width="7.85546875" style="91" customWidth="1"/>
    <col min="6112" max="6112" width="32.5703125" style="91" customWidth="1"/>
    <col min="6113" max="6113" width="4.42578125" style="91" customWidth="1"/>
    <col min="6114" max="6114" width="6.28515625" style="91" customWidth="1"/>
    <col min="6115" max="6115" width="8.28515625" style="91" customWidth="1"/>
    <col min="6116" max="6116" width="10.28515625" style="91" customWidth="1"/>
    <col min="6117" max="6117" width="8.28515625" style="91" customWidth="1"/>
    <col min="6118" max="6118" width="5" style="91" customWidth="1"/>
    <col min="6119" max="6119" width="5.85546875" style="91" customWidth="1"/>
    <col min="6120" max="6123" width="8.28515625" style="91" customWidth="1"/>
    <col min="6124" max="6124" width="7.5703125" style="91" customWidth="1"/>
    <col min="6125" max="6130" width="10.5703125" style="91" customWidth="1"/>
    <col min="6131" max="6131" width="8.42578125" style="91" customWidth="1"/>
    <col min="6132" max="6132" width="9.5703125" style="91" customWidth="1"/>
    <col min="6133" max="6134" width="9.140625" style="91"/>
    <col min="6135" max="6135" width="32.7109375" style="91" customWidth="1"/>
    <col min="6136" max="6366" width="9.140625" style="91"/>
    <col min="6367" max="6367" width="7.85546875" style="91" customWidth="1"/>
    <col min="6368" max="6368" width="32.5703125" style="91" customWidth="1"/>
    <col min="6369" max="6369" width="4.42578125" style="91" customWidth="1"/>
    <col min="6370" max="6370" width="6.28515625" style="91" customWidth="1"/>
    <col min="6371" max="6371" width="8.28515625" style="91" customWidth="1"/>
    <col min="6372" max="6372" width="10.28515625" style="91" customWidth="1"/>
    <col min="6373" max="6373" width="8.28515625" style="91" customWidth="1"/>
    <col min="6374" max="6374" width="5" style="91" customWidth="1"/>
    <col min="6375" max="6375" width="5.85546875" style="91" customWidth="1"/>
    <col min="6376" max="6379" width="8.28515625" style="91" customWidth="1"/>
    <col min="6380" max="6380" width="7.5703125" style="91" customWidth="1"/>
    <col min="6381" max="6386" width="10.5703125" style="91" customWidth="1"/>
    <col min="6387" max="6387" width="8.42578125" style="91" customWidth="1"/>
    <col min="6388" max="6388" width="9.5703125" style="91" customWidth="1"/>
    <col min="6389" max="6390" width="9.140625" style="91"/>
    <col min="6391" max="6391" width="32.7109375" style="91" customWidth="1"/>
    <col min="6392" max="6622" width="9.140625" style="91"/>
    <col min="6623" max="6623" width="7.85546875" style="91" customWidth="1"/>
    <col min="6624" max="6624" width="32.5703125" style="91" customWidth="1"/>
    <col min="6625" max="6625" width="4.42578125" style="91" customWidth="1"/>
    <col min="6626" max="6626" width="6.28515625" style="91" customWidth="1"/>
    <col min="6627" max="6627" width="8.28515625" style="91" customWidth="1"/>
    <col min="6628" max="6628" width="10.28515625" style="91" customWidth="1"/>
    <col min="6629" max="6629" width="8.28515625" style="91" customWidth="1"/>
    <col min="6630" max="6630" width="5" style="91" customWidth="1"/>
    <col min="6631" max="6631" width="5.85546875" style="91" customWidth="1"/>
    <col min="6632" max="6635" width="8.28515625" style="91" customWidth="1"/>
    <col min="6636" max="6636" width="7.5703125" style="91" customWidth="1"/>
    <col min="6637" max="6642" width="10.5703125" style="91" customWidth="1"/>
    <col min="6643" max="6643" width="8.42578125" style="91" customWidth="1"/>
    <col min="6644" max="6644" width="9.5703125" style="91" customWidth="1"/>
    <col min="6645" max="6646" width="9.140625" style="91"/>
    <col min="6647" max="6647" width="32.7109375" style="91" customWidth="1"/>
    <col min="6648" max="6878" width="9.140625" style="91"/>
    <col min="6879" max="6879" width="7.85546875" style="91" customWidth="1"/>
    <col min="6880" max="6880" width="32.5703125" style="91" customWidth="1"/>
    <col min="6881" max="6881" width="4.42578125" style="91" customWidth="1"/>
    <col min="6882" max="6882" width="6.28515625" style="91" customWidth="1"/>
    <col min="6883" max="6883" width="8.28515625" style="91" customWidth="1"/>
    <col min="6884" max="6884" width="10.28515625" style="91" customWidth="1"/>
    <col min="6885" max="6885" width="8.28515625" style="91" customWidth="1"/>
    <col min="6886" max="6886" width="5" style="91" customWidth="1"/>
    <col min="6887" max="6887" width="5.85546875" style="91" customWidth="1"/>
    <col min="6888" max="6891" width="8.28515625" style="91" customWidth="1"/>
    <col min="6892" max="6892" width="7.5703125" style="91" customWidth="1"/>
    <col min="6893" max="6898" width="10.5703125" style="91" customWidth="1"/>
    <col min="6899" max="6899" width="8.42578125" style="91" customWidth="1"/>
    <col min="6900" max="6900" width="9.5703125" style="91" customWidth="1"/>
    <col min="6901" max="6902" width="9.140625" style="91"/>
    <col min="6903" max="6903" width="32.7109375" style="91" customWidth="1"/>
    <col min="6904" max="7134" width="9.140625" style="91"/>
    <col min="7135" max="7135" width="7.85546875" style="91" customWidth="1"/>
    <col min="7136" max="7136" width="32.5703125" style="91" customWidth="1"/>
    <col min="7137" max="7137" width="4.42578125" style="91" customWidth="1"/>
    <col min="7138" max="7138" width="6.28515625" style="91" customWidth="1"/>
    <col min="7139" max="7139" width="8.28515625" style="91" customWidth="1"/>
    <col min="7140" max="7140" width="10.28515625" style="91" customWidth="1"/>
    <col min="7141" max="7141" width="8.28515625" style="91" customWidth="1"/>
    <col min="7142" max="7142" width="5" style="91" customWidth="1"/>
    <col min="7143" max="7143" width="5.85546875" style="91" customWidth="1"/>
    <col min="7144" max="7147" width="8.28515625" style="91" customWidth="1"/>
    <col min="7148" max="7148" width="7.5703125" style="91" customWidth="1"/>
    <col min="7149" max="7154" width="10.5703125" style="91" customWidth="1"/>
    <col min="7155" max="7155" width="8.42578125" style="91" customWidth="1"/>
    <col min="7156" max="7156" width="9.5703125" style="91" customWidth="1"/>
    <col min="7157" max="7158" width="9.140625" style="91"/>
    <col min="7159" max="7159" width="32.7109375" style="91" customWidth="1"/>
    <col min="7160" max="7390" width="9.140625" style="91"/>
    <col min="7391" max="7391" width="7.85546875" style="91" customWidth="1"/>
    <col min="7392" max="7392" width="32.5703125" style="91" customWidth="1"/>
    <col min="7393" max="7393" width="4.42578125" style="91" customWidth="1"/>
    <col min="7394" max="7394" width="6.28515625" style="91" customWidth="1"/>
    <col min="7395" max="7395" width="8.28515625" style="91" customWidth="1"/>
    <col min="7396" max="7396" width="10.28515625" style="91" customWidth="1"/>
    <col min="7397" max="7397" width="8.28515625" style="91" customWidth="1"/>
    <col min="7398" max="7398" width="5" style="91" customWidth="1"/>
    <col min="7399" max="7399" width="5.85546875" style="91" customWidth="1"/>
    <col min="7400" max="7403" width="8.28515625" style="91" customWidth="1"/>
    <col min="7404" max="7404" width="7.5703125" style="91" customWidth="1"/>
    <col min="7405" max="7410" width="10.5703125" style="91" customWidth="1"/>
    <col min="7411" max="7411" width="8.42578125" style="91" customWidth="1"/>
    <col min="7412" max="7412" width="9.5703125" style="91" customWidth="1"/>
    <col min="7413" max="7414" width="9.140625" style="91"/>
    <col min="7415" max="7415" width="32.7109375" style="91" customWidth="1"/>
    <col min="7416" max="7646" width="9.140625" style="91"/>
    <col min="7647" max="7647" width="7.85546875" style="91" customWidth="1"/>
    <col min="7648" max="7648" width="32.5703125" style="91" customWidth="1"/>
    <col min="7649" max="7649" width="4.42578125" style="91" customWidth="1"/>
    <col min="7650" max="7650" width="6.28515625" style="91" customWidth="1"/>
    <col min="7651" max="7651" width="8.28515625" style="91" customWidth="1"/>
    <col min="7652" max="7652" width="10.28515625" style="91" customWidth="1"/>
    <col min="7653" max="7653" width="8.28515625" style="91" customWidth="1"/>
    <col min="7654" max="7654" width="5" style="91" customWidth="1"/>
    <col min="7655" max="7655" width="5.85546875" style="91" customWidth="1"/>
    <col min="7656" max="7659" width="8.28515625" style="91" customWidth="1"/>
    <col min="7660" max="7660" width="7.5703125" style="91" customWidth="1"/>
    <col min="7661" max="7666" width="10.5703125" style="91" customWidth="1"/>
    <col min="7667" max="7667" width="8.42578125" style="91" customWidth="1"/>
    <col min="7668" max="7668" width="9.5703125" style="91" customWidth="1"/>
    <col min="7669" max="7670" width="9.140625" style="91"/>
    <col min="7671" max="7671" width="32.7109375" style="91" customWidth="1"/>
    <col min="7672" max="7902" width="9.140625" style="91"/>
    <col min="7903" max="7903" width="7.85546875" style="91" customWidth="1"/>
    <col min="7904" max="7904" width="32.5703125" style="91" customWidth="1"/>
    <col min="7905" max="7905" width="4.42578125" style="91" customWidth="1"/>
    <col min="7906" max="7906" width="6.28515625" style="91" customWidth="1"/>
    <col min="7907" max="7907" width="8.28515625" style="91" customWidth="1"/>
    <col min="7908" max="7908" width="10.28515625" style="91" customWidth="1"/>
    <col min="7909" max="7909" width="8.28515625" style="91" customWidth="1"/>
    <col min="7910" max="7910" width="5" style="91" customWidth="1"/>
    <col min="7911" max="7911" width="5.85546875" style="91" customWidth="1"/>
    <col min="7912" max="7915" width="8.28515625" style="91" customWidth="1"/>
    <col min="7916" max="7916" width="7.5703125" style="91" customWidth="1"/>
    <col min="7917" max="7922" width="10.5703125" style="91" customWidth="1"/>
    <col min="7923" max="7923" width="8.42578125" style="91" customWidth="1"/>
    <col min="7924" max="7924" width="9.5703125" style="91" customWidth="1"/>
    <col min="7925" max="7926" width="9.140625" style="91"/>
    <col min="7927" max="7927" width="32.7109375" style="91" customWidth="1"/>
    <col min="7928" max="8158" width="9.140625" style="91"/>
    <col min="8159" max="8159" width="7.85546875" style="91" customWidth="1"/>
    <col min="8160" max="8160" width="32.5703125" style="91" customWidth="1"/>
    <col min="8161" max="8161" width="4.42578125" style="91" customWidth="1"/>
    <col min="8162" max="8162" width="6.28515625" style="91" customWidth="1"/>
    <col min="8163" max="8163" width="8.28515625" style="91" customWidth="1"/>
    <col min="8164" max="8164" width="10.28515625" style="91" customWidth="1"/>
    <col min="8165" max="8165" width="8.28515625" style="91" customWidth="1"/>
    <col min="8166" max="8166" width="5" style="91" customWidth="1"/>
    <col min="8167" max="8167" width="5.85546875" style="91" customWidth="1"/>
    <col min="8168" max="8171" width="8.28515625" style="91" customWidth="1"/>
    <col min="8172" max="8172" width="7.5703125" style="91" customWidth="1"/>
    <col min="8173" max="8178" width="10.5703125" style="91" customWidth="1"/>
    <col min="8179" max="8179" width="8.42578125" style="91" customWidth="1"/>
    <col min="8180" max="8180" width="9.5703125" style="91" customWidth="1"/>
    <col min="8181" max="8182" width="9.140625" style="91"/>
    <col min="8183" max="8183" width="32.7109375" style="91" customWidth="1"/>
    <col min="8184" max="8414" width="9.140625" style="91"/>
    <col min="8415" max="8415" width="7.85546875" style="91" customWidth="1"/>
    <col min="8416" max="8416" width="32.5703125" style="91" customWidth="1"/>
    <col min="8417" max="8417" width="4.42578125" style="91" customWidth="1"/>
    <col min="8418" max="8418" width="6.28515625" style="91" customWidth="1"/>
    <col min="8419" max="8419" width="8.28515625" style="91" customWidth="1"/>
    <col min="8420" max="8420" width="10.28515625" style="91" customWidth="1"/>
    <col min="8421" max="8421" width="8.28515625" style="91" customWidth="1"/>
    <col min="8422" max="8422" width="5" style="91" customWidth="1"/>
    <col min="8423" max="8423" width="5.85546875" style="91" customWidth="1"/>
    <col min="8424" max="8427" width="8.28515625" style="91" customWidth="1"/>
    <col min="8428" max="8428" width="7.5703125" style="91" customWidth="1"/>
    <col min="8429" max="8434" width="10.5703125" style="91" customWidth="1"/>
    <col min="8435" max="8435" width="8.42578125" style="91" customWidth="1"/>
    <col min="8436" max="8436" width="9.5703125" style="91" customWidth="1"/>
    <col min="8437" max="8438" width="9.140625" style="91"/>
    <col min="8439" max="8439" width="32.7109375" style="91" customWidth="1"/>
    <col min="8440" max="8670" width="9.140625" style="91"/>
    <col min="8671" max="8671" width="7.85546875" style="91" customWidth="1"/>
    <col min="8672" max="8672" width="32.5703125" style="91" customWidth="1"/>
    <col min="8673" max="8673" width="4.42578125" style="91" customWidth="1"/>
    <col min="8674" max="8674" width="6.28515625" style="91" customWidth="1"/>
    <col min="8675" max="8675" width="8.28515625" style="91" customWidth="1"/>
    <col min="8676" max="8676" width="10.28515625" style="91" customWidth="1"/>
    <col min="8677" max="8677" width="8.28515625" style="91" customWidth="1"/>
    <col min="8678" max="8678" width="5" style="91" customWidth="1"/>
    <col min="8679" max="8679" width="5.85546875" style="91" customWidth="1"/>
    <col min="8680" max="8683" width="8.28515625" style="91" customWidth="1"/>
    <col min="8684" max="8684" width="7.5703125" style="91" customWidth="1"/>
    <col min="8685" max="8690" width="10.5703125" style="91" customWidth="1"/>
    <col min="8691" max="8691" width="8.42578125" style="91" customWidth="1"/>
    <col min="8692" max="8692" width="9.5703125" style="91" customWidth="1"/>
    <col min="8693" max="8694" width="9.140625" style="91"/>
    <col min="8695" max="8695" width="32.7109375" style="91" customWidth="1"/>
    <col min="8696" max="8926" width="9.140625" style="91"/>
    <col min="8927" max="8927" width="7.85546875" style="91" customWidth="1"/>
    <col min="8928" max="8928" width="32.5703125" style="91" customWidth="1"/>
    <col min="8929" max="8929" width="4.42578125" style="91" customWidth="1"/>
    <col min="8930" max="8930" width="6.28515625" style="91" customWidth="1"/>
    <col min="8931" max="8931" width="8.28515625" style="91" customWidth="1"/>
    <col min="8932" max="8932" width="10.28515625" style="91" customWidth="1"/>
    <col min="8933" max="8933" width="8.28515625" style="91" customWidth="1"/>
    <col min="8934" max="8934" width="5" style="91" customWidth="1"/>
    <col min="8935" max="8935" width="5.85546875" style="91" customWidth="1"/>
    <col min="8936" max="8939" width="8.28515625" style="91" customWidth="1"/>
    <col min="8940" max="8940" width="7.5703125" style="91" customWidth="1"/>
    <col min="8941" max="8946" width="10.5703125" style="91" customWidth="1"/>
    <col min="8947" max="8947" width="8.42578125" style="91" customWidth="1"/>
    <col min="8948" max="8948" width="9.5703125" style="91" customWidth="1"/>
    <col min="8949" max="8950" width="9.140625" style="91"/>
    <col min="8951" max="8951" width="32.7109375" style="91" customWidth="1"/>
    <col min="8952" max="9182" width="9.140625" style="91"/>
    <col min="9183" max="9183" width="7.85546875" style="91" customWidth="1"/>
    <col min="9184" max="9184" width="32.5703125" style="91" customWidth="1"/>
    <col min="9185" max="9185" width="4.42578125" style="91" customWidth="1"/>
    <col min="9186" max="9186" width="6.28515625" style="91" customWidth="1"/>
    <col min="9187" max="9187" width="8.28515625" style="91" customWidth="1"/>
    <col min="9188" max="9188" width="10.28515625" style="91" customWidth="1"/>
    <col min="9189" max="9189" width="8.28515625" style="91" customWidth="1"/>
    <col min="9190" max="9190" width="5" style="91" customWidth="1"/>
    <col min="9191" max="9191" width="5.85546875" style="91" customWidth="1"/>
    <col min="9192" max="9195" width="8.28515625" style="91" customWidth="1"/>
    <col min="9196" max="9196" width="7.5703125" style="91" customWidth="1"/>
    <col min="9197" max="9202" width="10.5703125" style="91" customWidth="1"/>
    <col min="9203" max="9203" width="8.42578125" style="91" customWidth="1"/>
    <col min="9204" max="9204" width="9.5703125" style="91" customWidth="1"/>
    <col min="9205" max="9206" width="9.140625" style="91"/>
    <col min="9207" max="9207" width="32.7109375" style="91" customWidth="1"/>
    <col min="9208" max="9438" width="9.140625" style="91"/>
    <col min="9439" max="9439" width="7.85546875" style="91" customWidth="1"/>
    <col min="9440" max="9440" width="32.5703125" style="91" customWidth="1"/>
    <col min="9441" max="9441" width="4.42578125" style="91" customWidth="1"/>
    <col min="9442" max="9442" width="6.28515625" style="91" customWidth="1"/>
    <col min="9443" max="9443" width="8.28515625" style="91" customWidth="1"/>
    <col min="9444" max="9444" width="10.28515625" style="91" customWidth="1"/>
    <col min="9445" max="9445" width="8.28515625" style="91" customWidth="1"/>
    <col min="9446" max="9446" width="5" style="91" customWidth="1"/>
    <col min="9447" max="9447" width="5.85546875" style="91" customWidth="1"/>
    <col min="9448" max="9451" width="8.28515625" style="91" customWidth="1"/>
    <col min="9452" max="9452" width="7.5703125" style="91" customWidth="1"/>
    <col min="9453" max="9458" width="10.5703125" style="91" customWidth="1"/>
    <col min="9459" max="9459" width="8.42578125" style="91" customWidth="1"/>
    <col min="9460" max="9460" width="9.5703125" style="91" customWidth="1"/>
    <col min="9461" max="9462" width="9.140625" style="91"/>
    <col min="9463" max="9463" width="32.7109375" style="91" customWidth="1"/>
    <col min="9464" max="9694" width="9.140625" style="91"/>
    <col min="9695" max="9695" width="7.85546875" style="91" customWidth="1"/>
    <col min="9696" max="9696" width="32.5703125" style="91" customWidth="1"/>
    <col min="9697" max="9697" width="4.42578125" style="91" customWidth="1"/>
    <col min="9698" max="9698" width="6.28515625" style="91" customWidth="1"/>
    <col min="9699" max="9699" width="8.28515625" style="91" customWidth="1"/>
    <col min="9700" max="9700" width="10.28515625" style="91" customWidth="1"/>
    <col min="9701" max="9701" width="8.28515625" style="91" customWidth="1"/>
    <col min="9702" max="9702" width="5" style="91" customWidth="1"/>
    <col min="9703" max="9703" width="5.85546875" style="91" customWidth="1"/>
    <col min="9704" max="9707" width="8.28515625" style="91" customWidth="1"/>
    <col min="9708" max="9708" width="7.5703125" style="91" customWidth="1"/>
    <col min="9709" max="9714" width="10.5703125" style="91" customWidth="1"/>
    <col min="9715" max="9715" width="8.42578125" style="91" customWidth="1"/>
    <col min="9716" max="9716" width="9.5703125" style="91" customWidth="1"/>
    <col min="9717" max="9718" width="9.140625" style="91"/>
    <col min="9719" max="9719" width="32.7109375" style="91" customWidth="1"/>
    <col min="9720" max="9950" width="9.140625" style="91"/>
    <col min="9951" max="9951" width="7.85546875" style="91" customWidth="1"/>
    <col min="9952" max="9952" width="32.5703125" style="91" customWidth="1"/>
    <col min="9953" max="9953" width="4.42578125" style="91" customWidth="1"/>
    <col min="9954" max="9954" width="6.28515625" style="91" customWidth="1"/>
    <col min="9955" max="9955" width="8.28515625" style="91" customWidth="1"/>
    <col min="9956" max="9956" width="10.28515625" style="91" customWidth="1"/>
    <col min="9957" max="9957" width="8.28515625" style="91" customWidth="1"/>
    <col min="9958" max="9958" width="5" style="91" customWidth="1"/>
    <col min="9959" max="9959" width="5.85546875" style="91" customWidth="1"/>
    <col min="9960" max="9963" width="8.28515625" style="91" customWidth="1"/>
    <col min="9964" max="9964" width="7.5703125" style="91" customWidth="1"/>
    <col min="9965" max="9970" width="10.5703125" style="91" customWidth="1"/>
    <col min="9971" max="9971" width="8.42578125" style="91" customWidth="1"/>
    <col min="9972" max="9972" width="9.5703125" style="91" customWidth="1"/>
    <col min="9973" max="9974" width="9.140625" style="91"/>
    <col min="9975" max="9975" width="32.7109375" style="91" customWidth="1"/>
    <col min="9976" max="10206" width="9.140625" style="91"/>
    <col min="10207" max="10207" width="7.85546875" style="91" customWidth="1"/>
    <col min="10208" max="10208" width="32.5703125" style="91" customWidth="1"/>
    <col min="10209" max="10209" width="4.42578125" style="91" customWidth="1"/>
    <col min="10210" max="10210" width="6.28515625" style="91" customWidth="1"/>
    <col min="10211" max="10211" width="8.28515625" style="91" customWidth="1"/>
    <col min="10212" max="10212" width="10.28515625" style="91" customWidth="1"/>
    <col min="10213" max="10213" width="8.28515625" style="91" customWidth="1"/>
    <col min="10214" max="10214" width="5" style="91" customWidth="1"/>
    <col min="10215" max="10215" width="5.85546875" style="91" customWidth="1"/>
    <col min="10216" max="10219" width="8.28515625" style="91" customWidth="1"/>
    <col min="10220" max="10220" width="7.5703125" style="91" customWidth="1"/>
    <col min="10221" max="10226" width="10.5703125" style="91" customWidth="1"/>
    <col min="10227" max="10227" width="8.42578125" style="91" customWidth="1"/>
    <col min="10228" max="10228" width="9.5703125" style="91" customWidth="1"/>
    <col min="10229" max="10230" width="9.140625" style="91"/>
    <col min="10231" max="10231" width="32.7109375" style="91" customWidth="1"/>
    <col min="10232" max="10462" width="9.140625" style="91"/>
    <col min="10463" max="10463" width="7.85546875" style="91" customWidth="1"/>
    <col min="10464" max="10464" width="32.5703125" style="91" customWidth="1"/>
    <col min="10465" max="10465" width="4.42578125" style="91" customWidth="1"/>
    <col min="10466" max="10466" width="6.28515625" style="91" customWidth="1"/>
    <col min="10467" max="10467" width="8.28515625" style="91" customWidth="1"/>
    <col min="10468" max="10468" width="10.28515625" style="91" customWidth="1"/>
    <col min="10469" max="10469" width="8.28515625" style="91" customWidth="1"/>
    <col min="10470" max="10470" width="5" style="91" customWidth="1"/>
    <col min="10471" max="10471" width="5.85546875" style="91" customWidth="1"/>
    <col min="10472" max="10475" width="8.28515625" style="91" customWidth="1"/>
    <col min="10476" max="10476" width="7.5703125" style="91" customWidth="1"/>
    <col min="10477" max="10482" width="10.5703125" style="91" customWidth="1"/>
    <col min="10483" max="10483" width="8.42578125" style="91" customWidth="1"/>
    <col min="10484" max="10484" width="9.5703125" style="91" customWidth="1"/>
    <col min="10485" max="10486" width="9.140625" style="91"/>
    <col min="10487" max="10487" width="32.7109375" style="91" customWidth="1"/>
    <col min="10488" max="10718" width="9.140625" style="91"/>
    <col min="10719" max="10719" width="7.85546875" style="91" customWidth="1"/>
    <col min="10720" max="10720" width="32.5703125" style="91" customWidth="1"/>
    <col min="10721" max="10721" width="4.42578125" style="91" customWidth="1"/>
    <col min="10722" max="10722" width="6.28515625" style="91" customWidth="1"/>
    <col min="10723" max="10723" width="8.28515625" style="91" customWidth="1"/>
    <col min="10724" max="10724" width="10.28515625" style="91" customWidth="1"/>
    <col min="10725" max="10725" width="8.28515625" style="91" customWidth="1"/>
    <col min="10726" max="10726" width="5" style="91" customWidth="1"/>
    <col min="10727" max="10727" width="5.85546875" style="91" customWidth="1"/>
    <col min="10728" max="10731" width="8.28515625" style="91" customWidth="1"/>
    <col min="10732" max="10732" width="7.5703125" style="91" customWidth="1"/>
    <col min="10733" max="10738" width="10.5703125" style="91" customWidth="1"/>
    <col min="10739" max="10739" width="8.42578125" style="91" customWidth="1"/>
    <col min="10740" max="10740" width="9.5703125" style="91" customWidth="1"/>
    <col min="10741" max="10742" width="9.140625" style="91"/>
    <col min="10743" max="10743" width="32.7109375" style="91" customWidth="1"/>
    <col min="10744" max="10974" width="9.140625" style="91"/>
    <col min="10975" max="10975" width="7.85546875" style="91" customWidth="1"/>
    <col min="10976" max="10976" width="32.5703125" style="91" customWidth="1"/>
    <col min="10977" max="10977" width="4.42578125" style="91" customWidth="1"/>
    <col min="10978" max="10978" width="6.28515625" style="91" customWidth="1"/>
    <col min="10979" max="10979" width="8.28515625" style="91" customWidth="1"/>
    <col min="10980" max="10980" width="10.28515625" style="91" customWidth="1"/>
    <col min="10981" max="10981" width="8.28515625" style="91" customWidth="1"/>
    <col min="10982" max="10982" width="5" style="91" customWidth="1"/>
    <col min="10983" max="10983" width="5.85546875" style="91" customWidth="1"/>
    <col min="10984" max="10987" width="8.28515625" style="91" customWidth="1"/>
    <col min="10988" max="10988" width="7.5703125" style="91" customWidth="1"/>
    <col min="10989" max="10994" width="10.5703125" style="91" customWidth="1"/>
    <col min="10995" max="10995" width="8.42578125" style="91" customWidth="1"/>
    <col min="10996" max="10996" width="9.5703125" style="91" customWidth="1"/>
    <col min="10997" max="10998" width="9.140625" style="91"/>
    <col min="10999" max="10999" width="32.7109375" style="91" customWidth="1"/>
    <col min="11000" max="11230" width="9.140625" style="91"/>
    <col min="11231" max="11231" width="7.85546875" style="91" customWidth="1"/>
    <col min="11232" max="11232" width="32.5703125" style="91" customWidth="1"/>
    <col min="11233" max="11233" width="4.42578125" style="91" customWidth="1"/>
    <col min="11234" max="11234" width="6.28515625" style="91" customWidth="1"/>
    <col min="11235" max="11235" width="8.28515625" style="91" customWidth="1"/>
    <col min="11236" max="11236" width="10.28515625" style="91" customWidth="1"/>
    <col min="11237" max="11237" width="8.28515625" style="91" customWidth="1"/>
    <col min="11238" max="11238" width="5" style="91" customWidth="1"/>
    <col min="11239" max="11239" width="5.85546875" style="91" customWidth="1"/>
    <col min="11240" max="11243" width="8.28515625" style="91" customWidth="1"/>
    <col min="11244" max="11244" width="7.5703125" style="91" customWidth="1"/>
    <col min="11245" max="11250" width="10.5703125" style="91" customWidth="1"/>
    <col min="11251" max="11251" width="8.42578125" style="91" customWidth="1"/>
    <col min="11252" max="11252" width="9.5703125" style="91" customWidth="1"/>
    <col min="11253" max="11254" width="9.140625" style="91"/>
    <col min="11255" max="11255" width="32.7109375" style="91" customWidth="1"/>
    <col min="11256" max="11486" width="9.140625" style="91"/>
    <col min="11487" max="11487" width="7.85546875" style="91" customWidth="1"/>
    <col min="11488" max="11488" width="32.5703125" style="91" customWidth="1"/>
    <col min="11489" max="11489" width="4.42578125" style="91" customWidth="1"/>
    <col min="11490" max="11490" width="6.28515625" style="91" customWidth="1"/>
    <col min="11491" max="11491" width="8.28515625" style="91" customWidth="1"/>
    <col min="11492" max="11492" width="10.28515625" style="91" customWidth="1"/>
    <col min="11493" max="11493" width="8.28515625" style="91" customWidth="1"/>
    <col min="11494" max="11494" width="5" style="91" customWidth="1"/>
    <col min="11495" max="11495" width="5.85546875" style="91" customWidth="1"/>
    <col min="11496" max="11499" width="8.28515625" style="91" customWidth="1"/>
    <col min="11500" max="11500" width="7.5703125" style="91" customWidth="1"/>
    <col min="11501" max="11506" width="10.5703125" style="91" customWidth="1"/>
    <col min="11507" max="11507" width="8.42578125" style="91" customWidth="1"/>
    <col min="11508" max="11508" width="9.5703125" style="91" customWidth="1"/>
    <col min="11509" max="11510" width="9.140625" style="91"/>
    <col min="11511" max="11511" width="32.7109375" style="91" customWidth="1"/>
    <col min="11512" max="11742" width="9.140625" style="91"/>
    <col min="11743" max="11743" width="7.85546875" style="91" customWidth="1"/>
    <col min="11744" max="11744" width="32.5703125" style="91" customWidth="1"/>
    <col min="11745" max="11745" width="4.42578125" style="91" customWidth="1"/>
    <col min="11746" max="11746" width="6.28515625" style="91" customWidth="1"/>
    <col min="11747" max="11747" width="8.28515625" style="91" customWidth="1"/>
    <col min="11748" max="11748" width="10.28515625" style="91" customWidth="1"/>
    <col min="11749" max="11749" width="8.28515625" style="91" customWidth="1"/>
    <col min="11750" max="11750" width="5" style="91" customWidth="1"/>
    <col min="11751" max="11751" width="5.85546875" style="91" customWidth="1"/>
    <col min="11752" max="11755" width="8.28515625" style="91" customWidth="1"/>
    <col min="11756" max="11756" width="7.5703125" style="91" customWidth="1"/>
    <col min="11757" max="11762" width="10.5703125" style="91" customWidth="1"/>
    <col min="11763" max="11763" width="8.42578125" style="91" customWidth="1"/>
    <col min="11764" max="11764" width="9.5703125" style="91" customWidth="1"/>
    <col min="11765" max="11766" width="9.140625" style="91"/>
    <col min="11767" max="11767" width="32.7109375" style="91" customWidth="1"/>
    <col min="11768" max="11998" width="9.140625" style="91"/>
    <col min="11999" max="11999" width="7.85546875" style="91" customWidth="1"/>
    <col min="12000" max="12000" width="32.5703125" style="91" customWidth="1"/>
    <col min="12001" max="12001" width="4.42578125" style="91" customWidth="1"/>
    <col min="12002" max="12002" width="6.28515625" style="91" customWidth="1"/>
    <col min="12003" max="12003" width="8.28515625" style="91" customWidth="1"/>
    <col min="12004" max="12004" width="10.28515625" style="91" customWidth="1"/>
    <col min="12005" max="12005" width="8.28515625" style="91" customWidth="1"/>
    <col min="12006" max="12006" width="5" style="91" customWidth="1"/>
    <col min="12007" max="12007" width="5.85546875" style="91" customWidth="1"/>
    <col min="12008" max="12011" width="8.28515625" style="91" customWidth="1"/>
    <col min="12012" max="12012" width="7.5703125" style="91" customWidth="1"/>
    <col min="12013" max="12018" width="10.5703125" style="91" customWidth="1"/>
    <col min="12019" max="12019" width="8.42578125" style="91" customWidth="1"/>
    <col min="12020" max="12020" width="9.5703125" style="91" customWidth="1"/>
    <col min="12021" max="12022" width="9.140625" style="91"/>
    <col min="12023" max="12023" width="32.7109375" style="91" customWidth="1"/>
    <col min="12024" max="12254" width="9.140625" style="91"/>
    <col min="12255" max="12255" width="7.85546875" style="91" customWidth="1"/>
    <col min="12256" max="12256" width="32.5703125" style="91" customWidth="1"/>
    <col min="12257" max="12257" width="4.42578125" style="91" customWidth="1"/>
    <col min="12258" max="12258" width="6.28515625" style="91" customWidth="1"/>
    <col min="12259" max="12259" width="8.28515625" style="91" customWidth="1"/>
    <col min="12260" max="12260" width="10.28515625" style="91" customWidth="1"/>
    <col min="12261" max="12261" width="8.28515625" style="91" customWidth="1"/>
    <col min="12262" max="12262" width="5" style="91" customWidth="1"/>
    <col min="12263" max="12263" width="5.85546875" style="91" customWidth="1"/>
    <col min="12264" max="12267" width="8.28515625" style="91" customWidth="1"/>
    <col min="12268" max="12268" width="7.5703125" style="91" customWidth="1"/>
    <col min="12269" max="12274" width="10.5703125" style="91" customWidth="1"/>
    <col min="12275" max="12275" width="8.42578125" style="91" customWidth="1"/>
    <col min="12276" max="12276" width="9.5703125" style="91" customWidth="1"/>
    <col min="12277" max="12278" width="9.140625" style="91"/>
    <col min="12279" max="12279" width="32.7109375" style="91" customWidth="1"/>
    <col min="12280" max="12510" width="9.140625" style="91"/>
    <col min="12511" max="12511" width="7.85546875" style="91" customWidth="1"/>
    <col min="12512" max="12512" width="32.5703125" style="91" customWidth="1"/>
    <col min="12513" max="12513" width="4.42578125" style="91" customWidth="1"/>
    <col min="12514" max="12514" width="6.28515625" style="91" customWidth="1"/>
    <col min="12515" max="12515" width="8.28515625" style="91" customWidth="1"/>
    <col min="12516" max="12516" width="10.28515625" style="91" customWidth="1"/>
    <col min="12517" max="12517" width="8.28515625" style="91" customWidth="1"/>
    <col min="12518" max="12518" width="5" style="91" customWidth="1"/>
    <col min="12519" max="12519" width="5.85546875" style="91" customWidth="1"/>
    <col min="12520" max="12523" width="8.28515625" style="91" customWidth="1"/>
    <col min="12524" max="12524" width="7.5703125" style="91" customWidth="1"/>
    <col min="12525" max="12530" width="10.5703125" style="91" customWidth="1"/>
    <col min="12531" max="12531" width="8.42578125" style="91" customWidth="1"/>
    <col min="12532" max="12532" width="9.5703125" style="91" customWidth="1"/>
    <col min="12533" max="12534" width="9.140625" style="91"/>
    <col min="12535" max="12535" width="32.7109375" style="91" customWidth="1"/>
    <col min="12536" max="12766" width="9.140625" style="91"/>
    <col min="12767" max="12767" width="7.85546875" style="91" customWidth="1"/>
    <col min="12768" max="12768" width="32.5703125" style="91" customWidth="1"/>
    <col min="12769" max="12769" width="4.42578125" style="91" customWidth="1"/>
    <col min="12770" max="12770" width="6.28515625" style="91" customWidth="1"/>
    <col min="12771" max="12771" width="8.28515625" style="91" customWidth="1"/>
    <col min="12772" max="12772" width="10.28515625" style="91" customWidth="1"/>
    <col min="12773" max="12773" width="8.28515625" style="91" customWidth="1"/>
    <col min="12774" max="12774" width="5" style="91" customWidth="1"/>
    <col min="12775" max="12775" width="5.85546875" style="91" customWidth="1"/>
    <col min="12776" max="12779" width="8.28515625" style="91" customWidth="1"/>
    <col min="12780" max="12780" width="7.5703125" style="91" customWidth="1"/>
    <col min="12781" max="12786" width="10.5703125" style="91" customWidth="1"/>
    <col min="12787" max="12787" width="8.42578125" style="91" customWidth="1"/>
    <col min="12788" max="12788" width="9.5703125" style="91" customWidth="1"/>
    <col min="12789" max="12790" width="9.140625" style="91"/>
    <col min="12791" max="12791" width="32.7109375" style="91" customWidth="1"/>
    <col min="12792" max="13022" width="9.140625" style="91"/>
    <col min="13023" max="13023" width="7.85546875" style="91" customWidth="1"/>
    <col min="13024" max="13024" width="32.5703125" style="91" customWidth="1"/>
    <col min="13025" max="13025" width="4.42578125" style="91" customWidth="1"/>
    <col min="13026" max="13026" width="6.28515625" style="91" customWidth="1"/>
    <col min="13027" max="13027" width="8.28515625" style="91" customWidth="1"/>
    <col min="13028" max="13028" width="10.28515625" style="91" customWidth="1"/>
    <col min="13029" max="13029" width="8.28515625" style="91" customWidth="1"/>
    <col min="13030" max="13030" width="5" style="91" customWidth="1"/>
    <col min="13031" max="13031" width="5.85546875" style="91" customWidth="1"/>
    <col min="13032" max="13035" width="8.28515625" style="91" customWidth="1"/>
    <col min="13036" max="13036" width="7.5703125" style="91" customWidth="1"/>
    <col min="13037" max="13042" width="10.5703125" style="91" customWidth="1"/>
    <col min="13043" max="13043" width="8.42578125" style="91" customWidth="1"/>
    <col min="13044" max="13044" width="9.5703125" style="91" customWidth="1"/>
    <col min="13045" max="13046" width="9.140625" style="91"/>
    <col min="13047" max="13047" width="32.7109375" style="91" customWidth="1"/>
    <col min="13048" max="13278" width="9.140625" style="91"/>
    <col min="13279" max="13279" width="7.85546875" style="91" customWidth="1"/>
    <col min="13280" max="13280" width="32.5703125" style="91" customWidth="1"/>
    <col min="13281" max="13281" width="4.42578125" style="91" customWidth="1"/>
    <col min="13282" max="13282" width="6.28515625" style="91" customWidth="1"/>
    <col min="13283" max="13283" width="8.28515625" style="91" customWidth="1"/>
    <col min="13284" max="13284" width="10.28515625" style="91" customWidth="1"/>
    <col min="13285" max="13285" width="8.28515625" style="91" customWidth="1"/>
    <col min="13286" max="13286" width="5" style="91" customWidth="1"/>
    <col min="13287" max="13287" width="5.85546875" style="91" customWidth="1"/>
    <col min="13288" max="13291" width="8.28515625" style="91" customWidth="1"/>
    <col min="13292" max="13292" width="7.5703125" style="91" customWidth="1"/>
    <col min="13293" max="13298" width="10.5703125" style="91" customWidth="1"/>
    <col min="13299" max="13299" width="8.42578125" style="91" customWidth="1"/>
    <col min="13300" max="13300" width="9.5703125" style="91" customWidth="1"/>
    <col min="13301" max="13302" width="9.140625" style="91"/>
    <col min="13303" max="13303" width="32.7109375" style="91" customWidth="1"/>
    <col min="13304" max="13534" width="9.140625" style="91"/>
    <col min="13535" max="13535" width="7.85546875" style="91" customWidth="1"/>
    <col min="13536" max="13536" width="32.5703125" style="91" customWidth="1"/>
    <col min="13537" max="13537" width="4.42578125" style="91" customWidth="1"/>
    <col min="13538" max="13538" width="6.28515625" style="91" customWidth="1"/>
    <col min="13539" max="13539" width="8.28515625" style="91" customWidth="1"/>
    <col min="13540" max="13540" width="10.28515625" style="91" customWidth="1"/>
    <col min="13541" max="13541" width="8.28515625" style="91" customWidth="1"/>
    <col min="13542" max="13542" width="5" style="91" customWidth="1"/>
    <col min="13543" max="13543" width="5.85546875" style="91" customWidth="1"/>
    <col min="13544" max="13547" width="8.28515625" style="91" customWidth="1"/>
    <col min="13548" max="13548" width="7.5703125" style="91" customWidth="1"/>
    <col min="13549" max="13554" width="10.5703125" style="91" customWidth="1"/>
    <col min="13555" max="13555" width="8.42578125" style="91" customWidth="1"/>
    <col min="13556" max="13556" width="9.5703125" style="91" customWidth="1"/>
    <col min="13557" max="13558" width="9.140625" style="91"/>
    <col min="13559" max="13559" width="32.7109375" style="91" customWidth="1"/>
    <col min="13560" max="13790" width="9.140625" style="91"/>
    <col min="13791" max="13791" width="7.85546875" style="91" customWidth="1"/>
    <col min="13792" max="13792" width="32.5703125" style="91" customWidth="1"/>
    <col min="13793" max="13793" width="4.42578125" style="91" customWidth="1"/>
    <col min="13794" max="13794" width="6.28515625" style="91" customWidth="1"/>
    <col min="13795" max="13795" width="8.28515625" style="91" customWidth="1"/>
    <col min="13796" max="13796" width="10.28515625" style="91" customWidth="1"/>
    <col min="13797" max="13797" width="8.28515625" style="91" customWidth="1"/>
    <col min="13798" max="13798" width="5" style="91" customWidth="1"/>
    <col min="13799" max="13799" width="5.85546875" style="91" customWidth="1"/>
    <col min="13800" max="13803" width="8.28515625" style="91" customWidth="1"/>
    <col min="13804" max="13804" width="7.5703125" style="91" customWidth="1"/>
    <col min="13805" max="13810" width="10.5703125" style="91" customWidth="1"/>
    <col min="13811" max="13811" width="8.42578125" style="91" customWidth="1"/>
    <col min="13812" max="13812" width="9.5703125" style="91" customWidth="1"/>
    <col min="13813" max="13814" width="9.140625" style="91"/>
    <col min="13815" max="13815" width="32.7109375" style="91" customWidth="1"/>
    <col min="13816" max="14046" width="9.140625" style="91"/>
    <col min="14047" max="14047" width="7.85546875" style="91" customWidth="1"/>
    <col min="14048" max="14048" width="32.5703125" style="91" customWidth="1"/>
    <col min="14049" max="14049" width="4.42578125" style="91" customWidth="1"/>
    <col min="14050" max="14050" width="6.28515625" style="91" customWidth="1"/>
    <col min="14051" max="14051" width="8.28515625" style="91" customWidth="1"/>
    <col min="14052" max="14052" width="10.28515625" style="91" customWidth="1"/>
    <col min="14053" max="14053" width="8.28515625" style="91" customWidth="1"/>
    <col min="14054" max="14054" width="5" style="91" customWidth="1"/>
    <col min="14055" max="14055" width="5.85546875" style="91" customWidth="1"/>
    <col min="14056" max="14059" width="8.28515625" style="91" customWidth="1"/>
    <col min="14060" max="14060" width="7.5703125" style="91" customWidth="1"/>
    <col min="14061" max="14066" width="10.5703125" style="91" customWidth="1"/>
    <col min="14067" max="14067" width="8.42578125" style="91" customWidth="1"/>
    <col min="14068" max="14068" width="9.5703125" style="91" customWidth="1"/>
    <col min="14069" max="14070" width="9.140625" style="91"/>
    <col min="14071" max="14071" width="32.7109375" style="91" customWidth="1"/>
    <col min="14072" max="14302" width="9.140625" style="91"/>
    <col min="14303" max="14303" width="7.85546875" style="91" customWidth="1"/>
    <col min="14304" max="14304" width="32.5703125" style="91" customWidth="1"/>
    <col min="14305" max="14305" width="4.42578125" style="91" customWidth="1"/>
    <col min="14306" max="14306" width="6.28515625" style="91" customWidth="1"/>
    <col min="14307" max="14307" width="8.28515625" style="91" customWidth="1"/>
    <col min="14308" max="14308" width="10.28515625" style="91" customWidth="1"/>
    <col min="14309" max="14309" width="8.28515625" style="91" customWidth="1"/>
    <col min="14310" max="14310" width="5" style="91" customWidth="1"/>
    <col min="14311" max="14311" width="5.85546875" style="91" customWidth="1"/>
    <col min="14312" max="14315" width="8.28515625" style="91" customWidth="1"/>
    <col min="14316" max="14316" width="7.5703125" style="91" customWidth="1"/>
    <col min="14317" max="14322" width="10.5703125" style="91" customWidth="1"/>
    <col min="14323" max="14323" width="8.42578125" style="91" customWidth="1"/>
    <col min="14324" max="14324" width="9.5703125" style="91" customWidth="1"/>
    <col min="14325" max="14326" width="9.140625" style="91"/>
    <col min="14327" max="14327" width="32.7109375" style="91" customWidth="1"/>
    <col min="14328" max="14558" width="9.140625" style="91"/>
    <col min="14559" max="14559" width="7.85546875" style="91" customWidth="1"/>
    <col min="14560" max="14560" width="32.5703125" style="91" customWidth="1"/>
    <col min="14561" max="14561" width="4.42578125" style="91" customWidth="1"/>
    <col min="14562" max="14562" width="6.28515625" style="91" customWidth="1"/>
    <col min="14563" max="14563" width="8.28515625" style="91" customWidth="1"/>
    <col min="14564" max="14564" width="10.28515625" style="91" customWidth="1"/>
    <col min="14565" max="14565" width="8.28515625" style="91" customWidth="1"/>
    <col min="14566" max="14566" width="5" style="91" customWidth="1"/>
    <col min="14567" max="14567" width="5.85546875" style="91" customWidth="1"/>
    <col min="14568" max="14571" width="8.28515625" style="91" customWidth="1"/>
    <col min="14572" max="14572" width="7.5703125" style="91" customWidth="1"/>
    <col min="14573" max="14578" width="10.5703125" style="91" customWidth="1"/>
    <col min="14579" max="14579" width="8.42578125" style="91" customWidth="1"/>
    <col min="14580" max="14580" width="9.5703125" style="91" customWidth="1"/>
    <col min="14581" max="14582" width="9.140625" style="91"/>
    <col min="14583" max="14583" width="32.7109375" style="91" customWidth="1"/>
    <col min="14584" max="14814" width="9.140625" style="91"/>
    <col min="14815" max="14815" width="7.85546875" style="91" customWidth="1"/>
    <col min="14816" max="14816" width="32.5703125" style="91" customWidth="1"/>
    <col min="14817" max="14817" width="4.42578125" style="91" customWidth="1"/>
    <col min="14818" max="14818" width="6.28515625" style="91" customWidth="1"/>
    <col min="14819" max="14819" width="8.28515625" style="91" customWidth="1"/>
    <col min="14820" max="14820" width="10.28515625" style="91" customWidth="1"/>
    <col min="14821" max="14821" width="8.28515625" style="91" customWidth="1"/>
    <col min="14822" max="14822" width="5" style="91" customWidth="1"/>
    <col min="14823" max="14823" width="5.85546875" style="91" customWidth="1"/>
    <col min="14824" max="14827" width="8.28515625" style="91" customWidth="1"/>
    <col min="14828" max="14828" width="7.5703125" style="91" customWidth="1"/>
    <col min="14829" max="14834" width="10.5703125" style="91" customWidth="1"/>
    <col min="14835" max="14835" width="8.42578125" style="91" customWidth="1"/>
    <col min="14836" max="14836" width="9.5703125" style="91" customWidth="1"/>
    <col min="14837" max="14838" width="9.140625" style="91"/>
    <col min="14839" max="14839" width="32.7109375" style="91" customWidth="1"/>
    <col min="14840" max="15070" width="9.140625" style="91"/>
    <col min="15071" max="15071" width="7.85546875" style="91" customWidth="1"/>
    <col min="15072" max="15072" width="32.5703125" style="91" customWidth="1"/>
    <col min="15073" max="15073" width="4.42578125" style="91" customWidth="1"/>
    <col min="15074" max="15074" width="6.28515625" style="91" customWidth="1"/>
    <col min="15075" max="15075" width="8.28515625" style="91" customWidth="1"/>
    <col min="15076" max="15076" width="10.28515625" style="91" customWidth="1"/>
    <col min="15077" max="15077" width="8.28515625" style="91" customWidth="1"/>
    <col min="15078" max="15078" width="5" style="91" customWidth="1"/>
    <col min="15079" max="15079" width="5.85546875" style="91" customWidth="1"/>
    <col min="15080" max="15083" width="8.28515625" style="91" customWidth="1"/>
    <col min="15084" max="15084" width="7.5703125" style="91" customWidth="1"/>
    <col min="15085" max="15090" width="10.5703125" style="91" customWidth="1"/>
    <col min="15091" max="15091" width="8.42578125" style="91" customWidth="1"/>
    <col min="15092" max="15092" width="9.5703125" style="91" customWidth="1"/>
    <col min="15093" max="15094" width="9.140625" style="91"/>
    <col min="15095" max="15095" width="32.7109375" style="91" customWidth="1"/>
    <col min="15096" max="15326" width="9.140625" style="91"/>
    <col min="15327" max="15327" width="7.85546875" style="91" customWidth="1"/>
    <col min="15328" max="15328" width="32.5703125" style="91" customWidth="1"/>
    <col min="15329" max="15329" width="4.42578125" style="91" customWidth="1"/>
    <col min="15330" max="15330" width="6.28515625" style="91" customWidth="1"/>
    <col min="15331" max="15331" width="8.28515625" style="91" customWidth="1"/>
    <col min="15332" max="15332" width="10.28515625" style="91" customWidth="1"/>
    <col min="15333" max="15333" width="8.28515625" style="91" customWidth="1"/>
    <col min="15334" max="15334" width="5" style="91" customWidth="1"/>
    <col min="15335" max="15335" width="5.85546875" style="91" customWidth="1"/>
    <col min="15336" max="15339" width="8.28515625" style="91" customWidth="1"/>
    <col min="15340" max="15340" width="7.5703125" style="91" customWidth="1"/>
    <col min="15341" max="15346" width="10.5703125" style="91" customWidth="1"/>
    <col min="15347" max="15347" width="8.42578125" style="91" customWidth="1"/>
    <col min="15348" max="15348" width="9.5703125" style="91" customWidth="1"/>
    <col min="15349" max="15350" width="9.140625" style="91"/>
    <col min="15351" max="15351" width="32.7109375" style="91" customWidth="1"/>
    <col min="15352" max="15582" width="9.140625" style="91"/>
    <col min="15583" max="15583" width="7.85546875" style="91" customWidth="1"/>
    <col min="15584" max="15584" width="32.5703125" style="91" customWidth="1"/>
    <col min="15585" max="15585" width="4.42578125" style="91" customWidth="1"/>
    <col min="15586" max="15586" width="6.28515625" style="91" customWidth="1"/>
    <col min="15587" max="15587" width="8.28515625" style="91" customWidth="1"/>
    <col min="15588" max="15588" width="10.28515625" style="91" customWidth="1"/>
    <col min="15589" max="15589" width="8.28515625" style="91" customWidth="1"/>
    <col min="15590" max="15590" width="5" style="91" customWidth="1"/>
    <col min="15591" max="15591" width="5.85546875" style="91" customWidth="1"/>
    <col min="15592" max="15595" width="8.28515625" style="91" customWidth="1"/>
    <col min="15596" max="15596" width="7.5703125" style="91" customWidth="1"/>
    <col min="15597" max="15602" width="10.5703125" style="91" customWidth="1"/>
    <col min="15603" max="15603" width="8.42578125" style="91" customWidth="1"/>
    <col min="15604" max="15604" width="9.5703125" style="91" customWidth="1"/>
    <col min="15605" max="15606" width="9.140625" style="91"/>
    <col min="15607" max="15607" width="32.7109375" style="91" customWidth="1"/>
    <col min="15608" max="15838" width="9.140625" style="91"/>
    <col min="15839" max="15839" width="7.85546875" style="91" customWidth="1"/>
    <col min="15840" max="15840" width="32.5703125" style="91" customWidth="1"/>
    <col min="15841" max="15841" width="4.42578125" style="91" customWidth="1"/>
    <col min="15842" max="15842" width="6.28515625" style="91" customWidth="1"/>
    <col min="15843" max="15843" width="8.28515625" style="91" customWidth="1"/>
    <col min="15844" max="15844" width="10.28515625" style="91" customWidth="1"/>
    <col min="15845" max="15845" width="8.28515625" style="91" customWidth="1"/>
    <col min="15846" max="15846" width="5" style="91" customWidth="1"/>
    <col min="15847" max="15847" width="5.85546875" style="91" customWidth="1"/>
    <col min="15848" max="15851" width="8.28515625" style="91" customWidth="1"/>
    <col min="15852" max="15852" width="7.5703125" style="91" customWidth="1"/>
    <col min="15853" max="15858" width="10.5703125" style="91" customWidth="1"/>
    <col min="15859" max="15859" width="8.42578125" style="91" customWidth="1"/>
    <col min="15860" max="15860" width="9.5703125" style="91" customWidth="1"/>
    <col min="15861" max="15862" width="9.140625" style="91"/>
    <col min="15863" max="15863" width="32.7109375" style="91" customWidth="1"/>
    <col min="15864" max="16094" width="9.140625" style="91"/>
    <col min="16095" max="16095" width="7.85546875" style="91" customWidth="1"/>
    <col min="16096" max="16096" width="32.5703125" style="91" customWidth="1"/>
    <col min="16097" max="16097" width="4.42578125" style="91" customWidth="1"/>
    <col min="16098" max="16098" width="6.28515625" style="91" customWidth="1"/>
    <col min="16099" max="16099" width="8.28515625" style="91" customWidth="1"/>
    <col min="16100" max="16100" width="10.28515625" style="91" customWidth="1"/>
    <col min="16101" max="16101" width="8.28515625" style="91" customWidth="1"/>
    <col min="16102" max="16102" width="5" style="91" customWidth="1"/>
    <col min="16103" max="16103" width="5.85546875" style="91" customWidth="1"/>
    <col min="16104" max="16107" width="8.28515625" style="91" customWidth="1"/>
    <col min="16108" max="16108" width="7.5703125" style="91" customWidth="1"/>
    <col min="16109" max="16114" width="10.5703125" style="91" customWidth="1"/>
    <col min="16115" max="16115" width="8.42578125" style="91" customWidth="1"/>
    <col min="16116" max="16116" width="9.5703125" style="91" customWidth="1"/>
    <col min="16117" max="16118" width="9.140625" style="91"/>
    <col min="16119" max="16119" width="32.7109375" style="91" customWidth="1"/>
    <col min="16120" max="16384" width="9.140625" style="91"/>
  </cols>
  <sheetData>
    <row r="1" spans="1:47" ht="11.25" customHeight="1" x14ac:dyDescent="0.25">
      <c r="A1" s="261" t="s">
        <v>217</v>
      </c>
      <c r="B1" s="262" t="s">
        <v>218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88"/>
      <c r="P1" s="88"/>
      <c r="Q1" s="88"/>
      <c r="R1" s="89"/>
      <c r="S1" s="89"/>
      <c r="T1" s="89"/>
    </row>
    <row r="2" spans="1:47" ht="6.75" customHeight="1" x14ac:dyDescent="0.25">
      <c r="A2" s="261"/>
      <c r="B2" s="264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88"/>
      <c r="P2" s="88"/>
      <c r="Q2" s="88"/>
      <c r="R2" s="89"/>
      <c r="S2" s="89"/>
      <c r="T2" s="89"/>
    </row>
    <row r="3" spans="1:47" ht="26.1" customHeight="1" x14ac:dyDescent="0.25">
      <c r="A3" s="92" t="s">
        <v>219</v>
      </c>
      <c r="B3" s="93" t="s">
        <v>220</v>
      </c>
      <c r="C3" s="94">
        <v>1995</v>
      </c>
      <c r="D3" s="94">
        <v>1996</v>
      </c>
      <c r="E3" s="94">
        <v>1997</v>
      </c>
      <c r="F3" s="94">
        <v>1998</v>
      </c>
      <c r="G3" s="94">
        <v>1999</v>
      </c>
      <c r="H3" s="94">
        <v>2000</v>
      </c>
      <c r="I3" s="94">
        <v>2001</v>
      </c>
      <c r="J3" s="94">
        <v>2002</v>
      </c>
      <c r="K3" s="94">
        <v>2003</v>
      </c>
      <c r="L3" s="94">
        <v>2004</v>
      </c>
      <c r="M3" s="94">
        <v>2005</v>
      </c>
      <c r="N3" s="94">
        <v>2006</v>
      </c>
      <c r="O3" s="94">
        <v>2007</v>
      </c>
      <c r="P3" s="94">
        <v>2008</v>
      </c>
      <c r="Q3" s="94">
        <v>2009</v>
      </c>
      <c r="R3" s="95">
        <v>2010</v>
      </c>
      <c r="S3" s="95">
        <v>2011</v>
      </c>
      <c r="T3" s="95">
        <v>2012</v>
      </c>
      <c r="U3" s="95">
        <v>2013</v>
      </c>
      <c r="V3" s="92">
        <v>2014</v>
      </c>
      <c r="W3" s="92">
        <v>2015</v>
      </c>
      <c r="X3" s="92">
        <v>2016</v>
      </c>
      <c r="Y3" s="92">
        <v>2017</v>
      </c>
      <c r="Z3" s="92">
        <v>2018</v>
      </c>
    </row>
    <row r="4" spans="1:47" ht="14.1" customHeight="1" x14ac:dyDescent="0.25">
      <c r="A4" s="96">
        <v>4</v>
      </c>
      <c r="B4" s="97" t="s">
        <v>221</v>
      </c>
      <c r="C4" s="98">
        <f t="shared" ref="C4:Z4" si="0">IF(C$44=0,"",IF(C$123=0,"",IF(AND(C$123&lt;&gt;"",C$44&lt;&gt;"",C$123&lt;&gt;"n/a",C$44&lt;&gt;"n/a"),C$44*100/C$123,"")))</f>
        <v>8.8388565646344546</v>
      </c>
      <c r="D4" s="98">
        <f t="shared" si="0"/>
        <v>8.3666684445392647</v>
      </c>
      <c r="E4" s="98">
        <f t="shared" si="0"/>
        <v>8.5613224066680669</v>
      </c>
      <c r="F4" s="98">
        <f t="shared" si="0"/>
        <v>9.1202529920122135</v>
      </c>
      <c r="G4" s="98">
        <f t="shared" si="0"/>
        <v>9.8625402341148032</v>
      </c>
      <c r="H4" s="98">
        <f t="shared" si="0"/>
        <v>9.5686251727702061</v>
      </c>
      <c r="I4" s="98">
        <f t="shared" si="0"/>
        <v>9.7099076314321149</v>
      </c>
      <c r="J4" s="98">
        <f t="shared" si="0"/>
        <v>8.3068936512968055</v>
      </c>
      <c r="K4" s="98">
        <f t="shared" si="0"/>
        <v>8.1294276980068183</v>
      </c>
      <c r="L4" s="98">
        <f t="shared" si="0"/>
        <v>8.2391724229872523</v>
      </c>
      <c r="M4" s="98">
        <f t="shared" si="0"/>
        <v>8.701670862427207</v>
      </c>
      <c r="N4" s="98">
        <f t="shared" si="0"/>
        <v>8.9916528723753135</v>
      </c>
      <c r="O4" s="98">
        <f t="shared" si="0"/>
        <v>10.015008921193717</v>
      </c>
      <c r="P4" s="98">
        <f t="shared" si="0"/>
        <v>10.048014636529464</v>
      </c>
      <c r="Q4" s="98">
        <f t="shared" si="0"/>
        <v>9.9034905187706226</v>
      </c>
      <c r="R4" s="98">
        <f t="shared" si="0"/>
        <v>10.088842694174835</v>
      </c>
      <c r="S4" s="98">
        <f t="shared" si="0"/>
        <v>9.7168269522823199</v>
      </c>
      <c r="T4" s="98">
        <f t="shared" si="0"/>
        <v>9.8910558836619575</v>
      </c>
      <c r="U4" s="98">
        <f t="shared" si="0"/>
        <v>9.8913982885680358</v>
      </c>
      <c r="V4" s="98">
        <f t="shared" si="0"/>
        <v>9.832339491651668</v>
      </c>
      <c r="W4" s="98">
        <f t="shared" si="0"/>
        <v>9.3994236828784707</v>
      </c>
      <c r="X4" s="98">
        <f t="shared" si="0"/>
        <v>8.9830718374038927</v>
      </c>
      <c r="Y4" s="98">
        <f t="shared" si="0"/>
        <v>8.7602397870013391</v>
      </c>
      <c r="Z4" s="98">
        <f t="shared" si="0"/>
        <v>8.5500200901993626</v>
      </c>
    </row>
    <row r="5" spans="1:47" ht="14.1" customHeight="1" x14ac:dyDescent="0.25">
      <c r="A5" s="96"/>
      <c r="B5" s="99" t="s">
        <v>222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47" ht="14.1" customHeight="1" x14ac:dyDescent="0.25">
      <c r="A6" s="96">
        <v>10</v>
      </c>
      <c r="B6" s="97" t="s">
        <v>223</v>
      </c>
      <c r="C6" s="100" t="str">
        <f t="shared" ref="C6:Z6" si="1">IF(C$41=0,"",IF(C$44=0,"",IF(AND(C$44&lt;&gt;"",C$41&lt;&gt;"",C$44&lt;&gt;"n/a",C$41&lt;&gt;"n/a"),C$41*100/C$44,"")))</f>
        <v/>
      </c>
      <c r="D6" s="100" t="str">
        <f t="shared" si="1"/>
        <v/>
      </c>
      <c r="E6" s="100">
        <f t="shared" si="1"/>
        <v>8.3535947670578918E-3</v>
      </c>
      <c r="F6" s="100">
        <f t="shared" si="1"/>
        <v>5.9711967322591021E-3</v>
      </c>
      <c r="G6" s="100">
        <f t="shared" si="1"/>
        <v>4.8445234293912939E-2</v>
      </c>
      <c r="H6" s="100">
        <f t="shared" si="1"/>
        <v>0.77635096218633048</v>
      </c>
      <c r="I6" s="100">
        <f t="shared" si="1"/>
        <v>0.89083169233382009</v>
      </c>
      <c r="J6" s="100">
        <f t="shared" si="1"/>
        <v>0.47866046835603165</v>
      </c>
      <c r="K6" s="100">
        <f t="shared" si="1"/>
        <v>1.7080707849244938</v>
      </c>
      <c r="L6" s="100">
        <f t="shared" si="1"/>
        <v>0.69048300017545294</v>
      </c>
      <c r="M6" s="100">
        <f t="shared" si="1"/>
        <v>1.3755184268825671</v>
      </c>
      <c r="N6" s="100">
        <f>IF(N$41=0,"",IF(N$44=0,"",IF(AND(N$44&lt;&gt;"",N$41&lt;&gt;"",N$44&lt;&gt;"n/a",N$41&lt;&gt;"n/a"),N$41*100/N$44,"")))</f>
        <v>2.2856954850874422</v>
      </c>
      <c r="O6" s="100">
        <f t="shared" si="1"/>
        <v>1.3262736672638145</v>
      </c>
      <c r="P6" s="100">
        <f t="shared" si="1"/>
        <v>0.92604577525787202</v>
      </c>
      <c r="Q6" s="100">
        <f t="shared" si="1"/>
        <v>1.4050944868807187</v>
      </c>
      <c r="R6" s="100">
        <f t="shared" si="1"/>
        <v>0.81112700273720151</v>
      </c>
      <c r="S6" s="100">
        <f t="shared" si="1"/>
        <v>0.68980722243866788</v>
      </c>
      <c r="T6" s="100">
        <f t="shared" si="1"/>
        <v>0.37189566616757075</v>
      </c>
      <c r="U6" s="100">
        <f t="shared" si="1"/>
        <v>0.58639055436545129</v>
      </c>
      <c r="V6" s="100">
        <f t="shared" si="1"/>
        <v>0.45847401222813783</v>
      </c>
      <c r="W6" s="100">
        <f t="shared" si="1"/>
        <v>0.34652179862611043</v>
      </c>
      <c r="X6" s="100">
        <f t="shared" si="1"/>
        <v>0.3868335544805826</v>
      </c>
      <c r="Y6" s="100">
        <f t="shared" si="1"/>
        <v>0.13217741406925049</v>
      </c>
      <c r="Z6" s="100">
        <f t="shared" si="1"/>
        <v>0.63803562753278265</v>
      </c>
    </row>
    <row r="7" spans="1:47" ht="14.1" customHeight="1" x14ac:dyDescent="0.25">
      <c r="A7" s="96"/>
      <c r="B7" s="99" t="s">
        <v>224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47" ht="14.1" customHeight="1" x14ac:dyDescent="0.25">
      <c r="A8" s="96">
        <v>5</v>
      </c>
      <c r="B8" s="97" t="s">
        <v>225</v>
      </c>
      <c r="C8" s="100">
        <f t="shared" ref="C8:U8" si="2">IF(C$45=0,"",IF(C$44=0,"",IF(AND(C$44&lt;&gt;"",C$45&lt;&gt;"",C$44&lt;&gt;"n/a",C$45&lt;&gt;"n/a"),C$45*100/C$44,"")))</f>
        <v>79.164281625643966</v>
      </c>
      <c r="D8" s="100">
        <f t="shared" si="2"/>
        <v>79.164895877603058</v>
      </c>
      <c r="E8" s="100">
        <f t="shared" si="2"/>
        <v>79.882189315225389</v>
      </c>
      <c r="F8" s="100">
        <f t="shared" si="2"/>
        <v>78.489866682608962</v>
      </c>
      <c r="G8" s="100">
        <f t="shared" si="2"/>
        <v>78.444245029046428</v>
      </c>
      <c r="H8" s="100">
        <f t="shared" si="2"/>
        <v>78.512522135087281</v>
      </c>
      <c r="I8" s="100">
        <f t="shared" si="2"/>
        <v>77.243014692044213</v>
      </c>
      <c r="J8" s="100">
        <f t="shared" si="2"/>
        <v>72.722316944454107</v>
      </c>
      <c r="K8" s="100">
        <f t="shared" si="2"/>
        <v>70.939170764988418</v>
      </c>
      <c r="L8" s="100">
        <f t="shared" si="2"/>
        <v>68.849282234442157</v>
      </c>
      <c r="M8" s="100">
        <f t="shared" si="2"/>
        <v>65.995382895400439</v>
      </c>
      <c r="N8" s="100">
        <f t="shared" si="2"/>
        <v>63.001812753038784</v>
      </c>
      <c r="O8" s="100">
        <f t="shared" si="2"/>
        <v>61.374102025832521</v>
      </c>
      <c r="P8" s="100">
        <f t="shared" si="2"/>
        <v>61.984503348437251</v>
      </c>
      <c r="Q8" s="100">
        <f t="shared" si="2"/>
        <v>61.862793401605892</v>
      </c>
      <c r="R8" s="100">
        <f t="shared" si="2"/>
        <v>61.870570293248463</v>
      </c>
      <c r="S8" s="100">
        <f t="shared" si="2"/>
        <v>62.151509934854893</v>
      </c>
      <c r="T8" s="100">
        <f t="shared" si="2"/>
        <v>61.163228147717014</v>
      </c>
      <c r="U8" s="100">
        <f t="shared" si="2"/>
        <v>60.500790677923717</v>
      </c>
      <c r="V8" s="100">
        <f>IF(V$45=0,"",IF(V$44=0,"",IF(AND(V$44&lt;&gt;"",V$45&lt;&gt;"",V$44&lt;&gt;"n/a",V$45&lt;&gt;"n/a"),V$45*100/V$44,"")))</f>
        <v>58.775312651251383</v>
      </c>
      <c r="W8" s="100">
        <f>IF(W$45=0,"",IF(W$44=0,"",IF(AND(W$44&lt;&gt;"",W$45&lt;&gt;"",W$44&lt;&gt;"n/a",W$45&lt;&gt;"n/a"),W$45*100/W$44,"")))</f>
        <v>58.066126303852585</v>
      </c>
      <c r="X8" s="100">
        <f>IF(X$45=0,"",IF(X$44=0,"",IF(AND(X$44&lt;&gt;"",X$45&lt;&gt;"",X$44&lt;&gt;"n/a",X$45&lt;&gt;"n/a"),X$45*100/X$44,"")))</f>
        <v>57.992905874855033</v>
      </c>
      <c r="Y8" s="100">
        <f>IF(Y$45=0,"",IF(Y$44=0,"",IF(AND(Y$44&lt;&gt;"",Y$45&lt;&gt;"",Y$44&lt;&gt;"n/a",Y$45&lt;&gt;"n/a"),Y$45*100/Y$44,"")))</f>
        <v>57.64545251753151</v>
      </c>
      <c r="Z8" s="100">
        <f>IF(Z$45=0,"",IF(Z$44=0,"",IF(AND(Z$44&lt;&gt;"",Z$45&lt;&gt;"",Z$44&lt;&gt;"n/a",Z$45&lt;&gt;"n/a"),Z$45*100/Z$44,"")))</f>
        <v>60.033849637851716</v>
      </c>
    </row>
    <row r="9" spans="1:47" ht="14.1" customHeight="1" x14ac:dyDescent="0.25">
      <c r="A9" s="96">
        <v>6</v>
      </c>
      <c r="B9" s="97" t="s">
        <v>226</v>
      </c>
      <c r="C9" s="100">
        <f t="shared" ref="C9:U9" si="3">IF(C$57=0,"",IF(C$44=0,"",IF(AND(C$44&lt;&gt;"",C$57&lt;&gt;"",C$44&lt;&gt;"n/a",C$57&lt;&gt;"n/a"),C$57*100/C$44,"")))</f>
        <v>20.835718374356038</v>
      </c>
      <c r="D9" s="100">
        <f t="shared" si="3"/>
        <v>20.845728856778582</v>
      </c>
      <c r="E9" s="100">
        <f t="shared" si="3"/>
        <v>20.109629387220814</v>
      </c>
      <c r="F9" s="100">
        <f t="shared" si="3"/>
        <v>21.510133317391045</v>
      </c>
      <c r="G9" s="100">
        <f t="shared" si="3"/>
        <v>21.555754970953572</v>
      </c>
      <c r="H9" s="100">
        <f t="shared" si="3"/>
        <v>21.487477864912723</v>
      </c>
      <c r="I9" s="100">
        <f t="shared" si="3"/>
        <v>22.756985307955787</v>
      </c>
      <c r="J9" s="100">
        <f t="shared" si="3"/>
        <v>27.382070821299745</v>
      </c>
      <c r="K9" s="100">
        <f t="shared" si="3"/>
        <v>29.060829235011585</v>
      </c>
      <c r="L9" s="100">
        <f t="shared" si="3"/>
        <v>31.150717765557843</v>
      </c>
      <c r="M9" s="100">
        <f t="shared" si="3"/>
        <v>34.004617104599554</v>
      </c>
      <c r="N9" s="100">
        <f t="shared" si="3"/>
        <v>36.998187246961201</v>
      </c>
      <c r="O9" s="100">
        <f t="shared" si="3"/>
        <v>38.625897974167479</v>
      </c>
      <c r="P9" s="100">
        <f t="shared" si="3"/>
        <v>38.015496651562749</v>
      </c>
      <c r="Q9" s="100">
        <f t="shared" si="3"/>
        <v>38.137076876868015</v>
      </c>
      <c r="R9" s="100">
        <f t="shared" si="3"/>
        <v>38.129429706751544</v>
      </c>
      <c r="S9" s="100">
        <f t="shared" si="3"/>
        <v>37.912615482144489</v>
      </c>
      <c r="T9" s="100">
        <f t="shared" si="3"/>
        <v>38.836771852282986</v>
      </c>
      <c r="U9" s="100">
        <f t="shared" si="3"/>
        <v>39.49920932207629</v>
      </c>
      <c r="V9" s="100">
        <f>IF(V$57=0,"",IF(V$44=0,"",IF(AND(V$44&lt;&gt;"",V$57&lt;&gt;"",V$44&lt;&gt;"n/a",V$57&lt;&gt;"n/a"),V$57*100/V$44,"")))</f>
        <v>41.224687348748617</v>
      </c>
      <c r="W9" s="100">
        <f>IF(W$57=0,"",IF(W$44=0,"",IF(AND(W$44&lt;&gt;"",W$57&lt;&gt;"",W$44&lt;&gt;"n/a",W$57&lt;&gt;"n/a"),W$57*100/W$44,"")))</f>
        <v>41.933873694788417</v>
      </c>
      <c r="X9" s="100">
        <f>IF(X$57=0,"",IF(X$44=0,"",IF(AND(X$44&lt;&gt;"",X$57&lt;&gt;"",X$44&lt;&gt;"n/a",X$57&lt;&gt;"n/a"),X$57*100/X$44,"")))</f>
        <v>42.007355322683438</v>
      </c>
      <c r="Y9" s="100">
        <f>IF(Y$57=0,"",IF(Y$44=0,"",IF(AND(Y$44&lt;&gt;"",Y$57&lt;&gt;"",Y$44&lt;&gt;"n/a",Y$57&lt;&gt;"n/a"),Y$57*100/Y$44,"")))</f>
        <v>42.354547482468497</v>
      </c>
      <c r="Z9" s="100">
        <f>IF(Z$57=0,"",IF(Z$44=0,"",IF(AND(Z$44&lt;&gt;"",Z$57&lt;&gt;"",Z$44&lt;&gt;"n/a",Z$57&lt;&gt;"n/a"),Z$57*100/Z$44,"")))</f>
        <v>39.966150362148277</v>
      </c>
      <c r="AA9" s="101" t="s">
        <v>47</v>
      </c>
      <c r="AB9" s="101" t="s">
        <v>47</v>
      </c>
      <c r="AC9" s="101" t="s">
        <v>47</v>
      </c>
      <c r="AD9" s="101" t="s">
        <v>47</v>
      </c>
      <c r="AE9" s="101" t="s">
        <v>47</v>
      </c>
      <c r="AF9" s="101" t="s">
        <v>47</v>
      </c>
      <c r="AG9" s="101" t="s">
        <v>47</v>
      </c>
      <c r="AH9" s="101" t="s">
        <v>47</v>
      </c>
      <c r="AI9" s="101" t="s">
        <v>47</v>
      </c>
      <c r="AJ9" s="101" t="s">
        <v>47</v>
      </c>
      <c r="AK9" s="101" t="s">
        <v>47</v>
      </c>
      <c r="AL9" s="101" t="s">
        <v>47</v>
      </c>
      <c r="AM9" s="101" t="s">
        <v>47</v>
      </c>
      <c r="AN9" s="101" t="s">
        <v>47</v>
      </c>
      <c r="AO9" s="101" t="s">
        <v>47</v>
      </c>
      <c r="AP9" s="101" t="s">
        <v>47</v>
      </c>
      <c r="AQ9" s="101" t="s">
        <v>47</v>
      </c>
      <c r="AR9" s="101" t="s">
        <v>47</v>
      </c>
      <c r="AS9" s="101" t="s">
        <v>47</v>
      </c>
      <c r="AT9" s="101" t="s">
        <v>47</v>
      </c>
      <c r="AU9" s="101" t="s">
        <v>47</v>
      </c>
    </row>
    <row r="10" spans="1:47" ht="14.1" customHeight="1" x14ac:dyDescent="0.25">
      <c r="A10" s="96">
        <v>7</v>
      </c>
      <c r="B10" s="97" t="s">
        <v>227</v>
      </c>
      <c r="C10" s="100">
        <f t="shared" ref="C10:U10" si="4">IF(C$45=0,"",IF(C$124=0,"",IF(AND(C$124&lt;&gt;"",C$45&lt;&gt;"",C$124&lt;&gt;"n/a",C$45&lt;&gt;"n/a"),C$45*100/C$124,"")))</f>
        <v>22.308723072477044</v>
      </c>
      <c r="D10" s="100">
        <f t="shared" si="4"/>
        <v>21.117113538038765</v>
      </c>
      <c r="E10" s="100">
        <f t="shared" si="4"/>
        <v>21.804200265041043</v>
      </c>
      <c r="F10" s="100">
        <f t="shared" si="4"/>
        <v>22.822847485372311</v>
      </c>
      <c r="G10" s="100">
        <f t="shared" si="4"/>
        <v>24.666028360841931</v>
      </c>
      <c r="H10" s="100">
        <f t="shared" si="4"/>
        <v>23.951781566173008</v>
      </c>
      <c r="I10" s="100">
        <f t="shared" si="4"/>
        <v>22.183427198074423</v>
      </c>
      <c r="J10" s="100">
        <f t="shared" si="4"/>
        <v>14.080834712618381</v>
      </c>
      <c r="K10" s="100">
        <f t="shared" si="4"/>
        <v>13.763574625230808</v>
      </c>
      <c r="L10" s="100">
        <f t="shared" si="4"/>
        <v>13.894607876226864</v>
      </c>
      <c r="M10" s="100">
        <f t="shared" si="4"/>
        <v>14.260415352178777</v>
      </c>
      <c r="N10" s="100">
        <f t="shared" si="4"/>
        <v>13.115265639750097</v>
      </c>
      <c r="O10" s="100">
        <f t="shared" si="4"/>
        <v>14.162385544596884</v>
      </c>
      <c r="P10" s="100">
        <f t="shared" si="4"/>
        <v>14.342354404871866</v>
      </c>
      <c r="Q10" s="100">
        <f t="shared" si="4"/>
        <v>14.100725058676771</v>
      </c>
      <c r="R10" s="100">
        <f t="shared" si="4"/>
        <v>14.308337437494068</v>
      </c>
      <c r="S10" s="100">
        <f t="shared" si="4"/>
        <v>14.252539530940826</v>
      </c>
      <c r="T10" s="100">
        <f t="shared" si="4"/>
        <v>13.119022147609252</v>
      </c>
      <c r="U10" s="100">
        <f t="shared" si="4"/>
        <v>13.8617910858017</v>
      </c>
      <c r="V10" s="100">
        <f>IF(V$45=0,"",IF(V$124=0,"",IF(AND(V$124&lt;&gt;"",V$45&lt;&gt;"",V$124&lt;&gt;"n/a",V$45&lt;&gt;"n/a"),V$45*100/V$124,"")))</f>
        <v>12.582529853357013</v>
      </c>
      <c r="W10" s="100">
        <f>IF(W$45=0,"",IF(W$124=0,"",IF(AND(W$124&lt;&gt;"",W$45&lt;&gt;"",W$124&lt;&gt;"n/a",W$45&lt;&gt;"n/a"),W$45*100/W$124,"")))</f>
        <v>11.968101897654808</v>
      </c>
      <c r="X10" s="100">
        <f>IF(X$45=0,"",IF(X$124=0,"",IF(AND(X$124&lt;&gt;"",X$45&lt;&gt;"",X$124&lt;&gt;"n/a",X$45&lt;&gt;"n/a"),X$45*100/X$124,"")))</f>
        <v>11.706214184065635</v>
      </c>
      <c r="Y10" s="100">
        <f>IF(Y$45=0,"",IF(Y$124=0,"",IF(AND(Y$124&lt;&gt;"",Y$45&lt;&gt;"",Y$124&lt;&gt;"n/a",Y$45&lt;&gt;"n/a"),Y$45*100/Y$124,"")))</f>
        <v>11.735901358596639</v>
      </c>
      <c r="Z10" s="100">
        <f>IF(Z$45=0,"",IF(Z$124=0,"",IF(AND(Z$124&lt;&gt;"",Z$45&lt;&gt;"",Z$124&lt;&gt;"n/a",Z$45&lt;&gt;"n/a"),Z$45*100/Z$124,"")))</f>
        <v>12.51849416755037</v>
      </c>
      <c r="AA10" s="101" t="s">
        <v>47</v>
      </c>
      <c r="AB10" s="101" t="s">
        <v>47</v>
      </c>
      <c r="AC10" s="101" t="s">
        <v>47</v>
      </c>
      <c r="AD10" s="101" t="s">
        <v>47</v>
      </c>
      <c r="AE10" s="101" t="s">
        <v>47</v>
      </c>
      <c r="AF10" s="101" t="s">
        <v>47</v>
      </c>
      <c r="AG10" s="101" t="s">
        <v>47</v>
      </c>
      <c r="AH10" s="101" t="s">
        <v>47</v>
      </c>
      <c r="AI10" s="101" t="s">
        <v>47</v>
      </c>
      <c r="AJ10" s="101" t="s">
        <v>47</v>
      </c>
      <c r="AK10" s="101" t="s">
        <v>47</v>
      </c>
      <c r="AL10" s="101" t="s">
        <v>47</v>
      </c>
      <c r="AM10" s="101" t="s">
        <v>47</v>
      </c>
      <c r="AN10" s="101" t="s">
        <v>47</v>
      </c>
      <c r="AO10" s="101" t="s">
        <v>47</v>
      </c>
      <c r="AP10" s="101" t="s">
        <v>47</v>
      </c>
      <c r="AQ10" s="101" t="s">
        <v>47</v>
      </c>
      <c r="AR10" s="101" t="s">
        <v>47</v>
      </c>
      <c r="AS10" s="101" t="s">
        <v>47</v>
      </c>
      <c r="AT10" s="101" t="s">
        <v>47</v>
      </c>
      <c r="AU10" s="101" t="s">
        <v>47</v>
      </c>
    </row>
    <row r="11" spans="1:47" ht="14.1" customHeight="1" x14ac:dyDescent="0.25">
      <c r="A11" s="96">
        <v>8</v>
      </c>
      <c r="B11" s="97" t="s">
        <v>228</v>
      </c>
      <c r="C11" s="100">
        <f t="shared" ref="C11:U11" si="5">IF(C$52=0,"0",IF(C$45=0,"",IF(AND(C$45&lt;&gt;"",C$52&lt;&gt;"",C$45&lt;&gt;"n/a",C$52&lt;&gt;"n/a"),C$52*100/C$45,"")))</f>
        <v>59.460110870089181</v>
      </c>
      <c r="D11" s="100">
        <f t="shared" si="5"/>
        <v>59.455106697087636</v>
      </c>
      <c r="E11" s="100">
        <f t="shared" si="5"/>
        <v>59.453092994674314</v>
      </c>
      <c r="F11" s="100">
        <f t="shared" si="5"/>
        <v>59.456165739964966</v>
      </c>
      <c r="G11" s="100">
        <f t="shared" si="5"/>
        <v>59.455716780059007</v>
      </c>
      <c r="H11" s="100">
        <f t="shared" si="5"/>
        <v>59.453537827039568</v>
      </c>
      <c r="I11" s="100">
        <f t="shared" si="5"/>
        <v>59.45423536100057</v>
      </c>
      <c r="J11" s="100">
        <f t="shared" si="5"/>
        <v>92.535766120671781</v>
      </c>
      <c r="K11" s="100">
        <f t="shared" si="5"/>
        <v>91.224454992467955</v>
      </c>
      <c r="L11" s="100">
        <f t="shared" si="5"/>
        <v>91.453209449201438</v>
      </c>
      <c r="M11" s="100">
        <f t="shared" si="5"/>
        <v>92.696070633153042</v>
      </c>
      <c r="N11" s="100">
        <f t="shared" si="5"/>
        <v>92.999785269486793</v>
      </c>
      <c r="O11" s="100">
        <f t="shared" si="5"/>
        <v>93.406881877905732</v>
      </c>
      <c r="P11" s="100">
        <f t="shared" si="5"/>
        <v>92.406366438736768</v>
      </c>
      <c r="Q11" s="100">
        <f t="shared" si="5"/>
        <v>93.497837902170033</v>
      </c>
      <c r="R11" s="100">
        <f t="shared" si="5"/>
        <v>94.208329851245196</v>
      </c>
      <c r="S11" s="100">
        <f t="shared" si="5"/>
        <v>93.16966975722589</v>
      </c>
      <c r="T11" s="100">
        <f t="shared" si="5"/>
        <v>93.448223765295538</v>
      </c>
      <c r="U11" s="100">
        <f t="shared" si="5"/>
        <v>93.554309740654361</v>
      </c>
      <c r="V11" s="100">
        <f>IF(V$52=0,"0",IF(V$45=0,"",IF(AND(V$45&lt;&gt;"",V$52&lt;&gt;"",V$45&lt;&gt;"n/a",V$52&lt;&gt;"n/a"),V$52*100/V$45,"")))</f>
        <v>93.989905697967856</v>
      </c>
      <c r="W11" s="100">
        <f>IF(W$52=0,"0",IF(W$45=0,"",IF(AND(W$45&lt;&gt;"",W$52&lt;&gt;"",W$45&lt;&gt;"n/a",W$52&lt;&gt;"n/a"),W$52*100/W$45,"")))</f>
        <v>93.914129411876047</v>
      </c>
      <c r="X11" s="100">
        <f>IF(X$52=0,"0",IF(X$45=0,"",IF(AND(X$45&lt;&gt;"",X$52&lt;&gt;"",X$45&lt;&gt;"n/a",X$52&lt;&gt;"n/a"),X$52*100/X$45,"")))</f>
        <v>93.858855004121125</v>
      </c>
      <c r="Y11" s="100">
        <f>IF(Y$52=0,"0",IF(Y$45=0,"",IF(AND(Y$45&lt;&gt;"",Y$52&lt;&gt;"",Y$45&lt;&gt;"n/a",Y$52&lt;&gt;"n/a"),Y$52*100/Y$45,"")))</f>
        <v>94.025010405356326</v>
      </c>
      <c r="Z11" s="100">
        <f>IF(Z$52=0,"0",IF(Z$45=0,"",IF(AND(Z$45&lt;&gt;"",Z$52&lt;&gt;"",Z$45&lt;&gt;"n/a",Z$52&lt;&gt;"n/a"),Z$52*100/Z$45,"")))</f>
        <v>93.592837944422953</v>
      </c>
      <c r="AA11" s="101" t="s">
        <v>47</v>
      </c>
      <c r="AB11" s="101" t="s">
        <v>47</v>
      </c>
      <c r="AC11" s="101" t="s">
        <v>47</v>
      </c>
      <c r="AD11" s="101" t="s">
        <v>47</v>
      </c>
      <c r="AE11" s="101" t="s">
        <v>47</v>
      </c>
      <c r="AF11" s="101" t="s">
        <v>47</v>
      </c>
      <c r="AG11" s="101" t="s">
        <v>47</v>
      </c>
      <c r="AH11" s="101" t="s">
        <v>47</v>
      </c>
      <c r="AI11" s="101" t="s">
        <v>47</v>
      </c>
      <c r="AJ11" s="101" t="s">
        <v>47</v>
      </c>
      <c r="AK11" s="101" t="s">
        <v>47</v>
      </c>
      <c r="AL11" s="101" t="s">
        <v>47</v>
      </c>
      <c r="AM11" s="101" t="s">
        <v>47</v>
      </c>
      <c r="AN11" s="101" t="s">
        <v>47</v>
      </c>
      <c r="AO11" s="101" t="s">
        <v>47</v>
      </c>
      <c r="AP11" s="101" t="s">
        <v>47</v>
      </c>
      <c r="AQ11" s="101" t="s">
        <v>47</v>
      </c>
      <c r="AR11" s="101" t="s">
        <v>47</v>
      </c>
      <c r="AS11" s="101" t="s">
        <v>47</v>
      </c>
      <c r="AT11" s="101" t="s">
        <v>47</v>
      </c>
      <c r="AU11" s="101" t="s">
        <v>47</v>
      </c>
    </row>
    <row r="12" spans="1:47" ht="14.1" customHeight="1" x14ac:dyDescent="0.25">
      <c r="A12" s="96">
        <v>11</v>
      </c>
      <c r="B12" s="102" t="s">
        <v>229</v>
      </c>
      <c r="C12" s="100" t="str">
        <f t="shared" ref="C12:Z12" si="6">IF(C$58=0,"0",IF(C$57=0,"",IF(AND(C$57&lt;&gt;"",C$58&lt;&gt;"",C$57&lt;&gt;"n/a",C$58&lt;&gt;"n/a"),C$58*100/C$57,"")))</f>
        <v/>
      </c>
      <c r="D12" s="100" t="str">
        <f t="shared" si="6"/>
        <v/>
      </c>
      <c r="E12" s="100" t="str">
        <f t="shared" si="6"/>
        <v/>
      </c>
      <c r="F12" s="100" t="str">
        <f t="shared" si="6"/>
        <v/>
      </c>
      <c r="G12" s="100" t="str">
        <f t="shared" si="6"/>
        <v/>
      </c>
      <c r="H12" s="100" t="str">
        <f t="shared" si="6"/>
        <v/>
      </c>
      <c r="I12" s="100" t="str">
        <f t="shared" si="6"/>
        <v/>
      </c>
      <c r="J12" s="100" t="str">
        <f t="shared" si="6"/>
        <v/>
      </c>
      <c r="K12" s="100" t="str">
        <f t="shared" si="6"/>
        <v>0</v>
      </c>
      <c r="L12" s="100" t="str">
        <f t="shared" si="6"/>
        <v>0</v>
      </c>
      <c r="M12" s="100">
        <f t="shared" si="6"/>
        <v>1.5784637341203267</v>
      </c>
      <c r="N12" s="100">
        <f t="shared" si="6"/>
        <v>1.8399541210803894</v>
      </c>
      <c r="O12" s="100">
        <f t="shared" si="6"/>
        <v>1.903338712954459</v>
      </c>
      <c r="P12" s="100">
        <f t="shared" si="6"/>
        <v>2.0314684961200862</v>
      </c>
      <c r="Q12" s="100">
        <f t="shared" si="6"/>
        <v>1.9140075567445325</v>
      </c>
      <c r="R12" s="100">
        <f t="shared" si="6"/>
        <v>0.86787021733165304</v>
      </c>
      <c r="S12" s="100">
        <f t="shared" si="6"/>
        <v>0.77412073019970373</v>
      </c>
      <c r="T12" s="100">
        <f t="shared" si="6"/>
        <v>0.7867237571531005</v>
      </c>
      <c r="U12" s="100">
        <f t="shared" si="6"/>
        <v>0.76467725748091797</v>
      </c>
      <c r="V12" s="100">
        <f t="shared" si="6"/>
        <v>0.83636317729636922</v>
      </c>
      <c r="W12" s="100">
        <f t="shared" si="6"/>
        <v>0.99450980392156862</v>
      </c>
      <c r="X12" s="100">
        <f t="shared" si="6"/>
        <v>1.3859699302351609</v>
      </c>
      <c r="Y12" s="100">
        <f t="shared" si="6"/>
        <v>1.7262229503270392</v>
      </c>
      <c r="Z12" s="100">
        <f t="shared" si="6"/>
        <v>2.0043088332968124</v>
      </c>
      <c r="AA12" s="101" t="s">
        <v>47</v>
      </c>
      <c r="AB12" s="101" t="s">
        <v>47</v>
      </c>
      <c r="AC12" s="101" t="s">
        <v>47</v>
      </c>
      <c r="AD12" s="101" t="s">
        <v>47</v>
      </c>
      <c r="AE12" s="101" t="s">
        <v>47</v>
      </c>
      <c r="AF12" s="101" t="s">
        <v>47</v>
      </c>
      <c r="AG12" s="101" t="s">
        <v>47</v>
      </c>
      <c r="AH12" s="101" t="s">
        <v>47</v>
      </c>
      <c r="AI12" s="101" t="s">
        <v>47</v>
      </c>
      <c r="AJ12" s="101" t="s">
        <v>47</v>
      </c>
      <c r="AK12" s="101" t="s">
        <v>47</v>
      </c>
      <c r="AL12" s="101" t="s">
        <v>47</v>
      </c>
      <c r="AM12" s="101" t="s">
        <v>47</v>
      </c>
      <c r="AN12" s="101" t="s">
        <v>47</v>
      </c>
      <c r="AO12" s="101" t="s">
        <v>47</v>
      </c>
      <c r="AP12" s="101" t="s">
        <v>47</v>
      </c>
      <c r="AQ12" s="101" t="s">
        <v>47</v>
      </c>
      <c r="AR12" s="101" t="s">
        <v>47</v>
      </c>
      <c r="AS12" s="101" t="s">
        <v>47</v>
      </c>
      <c r="AT12" s="101" t="s">
        <v>47</v>
      </c>
      <c r="AU12" s="101" t="s">
        <v>47</v>
      </c>
    </row>
    <row r="13" spans="1:47" ht="14.1" customHeight="1" x14ac:dyDescent="0.25">
      <c r="A13" s="96">
        <v>13</v>
      </c>
      <c r="B13" s="97" t="s">
        <v>230</v>
      </c>
      <c r="C13" s="100">
        <f t="shared" ref="C13:Z13" si="7">IF(C$64=C$57,"100",IF(C$64=0,"",IF(C$57=0,"",IF(AND(C$57&lt;&gt;"",C$64&lt;&gt;"",C$57&lt;&gt;"n/a",C$64&lt;&gt;"n/a"),C$64*100/C$57,""))))</f>
        <v>84.798534798534803</v>
      </c>
      <c r="D13" s="100">
        <f t="shared" si="7"/>
        <v>84.811416921508666</v>
      </c>
      <c r="E13" s="100">
        <f t="shared" si="7"/>
        <v>84.825061025223761</v>
      </c>
      <c r="F13" s="100">
        <f t="shared" si="7"/>
        <v>84.824902723735406</v>
      </c>
      <c r="G13" s="100">
        <f t="shared" si="7"/>
        <v>84.815950920245399</v>
      </c>
      <c r="H13" s="100">
        <f t="shared" si="7"/>
        <v>84.718624911702378</v>
      </c>
      <c r="I13" s="100">
        <f t="shared" si="7"/>
        <v>84.821920829198362</v>
      </c>
      <c r="J13" s="100">
        <f t="shared" si="7"/>
        <v>84.50525245679431</v>
      </c>
      <c r="K13" s="100">
        <f t="shared" si="7"/>
        <v>86.009083805346037</v>
      </c>
      <c r="L13" s="100">
        <f t="shared" si="7"/>
        <v>87.688537519653792</v>
      </c>
      <c r="M13" s="100">
        <f t="shared" si="7"/>
        <v>88.029262942341305</v>
      </c>
      <c r="N13" s="100">
        <f t="shared" si="7"/>
        <v>88.981819410404398</v>
      </c>
      <c r="O13" s="100">
        <f t="shared" si="7"/>
        <v>90.157225217547548</v>
      </c>
      <c r="P13" s="100">
        <f t="shared" si="7"/>
        <v>92.448983912867746</v>
      </c>
      <c r="Q13" s="100">
        <f t="shared" si="7"/>
        <v>92.218024030815343</v>
      </c>
      <c r="R13" s="100">
        <f t="shared" si="7"/>
        <v>95.547086739356672</v>
      </c>
      <c r="S13" s="100">
        <f t="shared" si="7"/>
        <v>95.47417841619415</v>
      </c>
      <c r="T13" s="100">
        <f t="shared" si="7"/>
        <v>95.60355211960821</v>
      </c>
      <c r="U13" s="100">
        <f t="shared" si="7"/>
        <v>95.953647260630433</v>
      </c>
      <c r="V13" s="100">
        <f t="shared" si="7"/>
        <v>96.993511084179161</v>
      </c>
      <c r="W13" s="100">
        <f t="shared" si="7"/>
        <v>96.8483137254902</v>
      </c>
      <c r="X13" s="100">
        <f t="shared" si="7"/>
        <v>96.347605486675036</v>
      </c>
      <c r="Y13" s="100">
        <f t="shared" si="7"/>
        <v>96.008015632360525</v>
      </c>
      <c r="Z13" s="100">
        <f t="shared" si="7"/>
        <v>95.90333528438191</v>
      </c>
      <c r="AA13" s="101" t="s">
        <v>47</v>
      </c>
      <c r="AB13" s="101" t="s">
        <v>47</v>
      </c>
      <c r="AC13" s="101" t="s">
        <v>47</v>
      </c>
      <c r="AD13" s="101" t="s">
        <v>47</v>
      </c>
      <c r="AE13" s="101" t="s">
        <v>47</v>
      </c>
      <c r="AF13" s="101" t="s">
        <v>47</v>
      </c>
      <c r="AG13" s="101" t="s">
        <v>47</v>
      </c>
      <c r="AH13" s="101" t="s">
        <v>47</v>
      </c>
      <c r="AI13" s="101" t="s">
        <v>47</v>
      </c>
      <c r="AJ13" s="101" t="s">
        <v>47</v>
      </c>
      <c r="AK13" s="101" t="s">
        <v>47</v>
      </c>
      <c r="AL13" s="101" t="s">
        <v>47</v>
      </c>
      <c r="AM13" s="101" t="s">
        <v>47</v>
      </c>
      <c r="AN13" s="101" t="s">
        <v>47</v>
      </c>
      <c r="AO13" s="101" t="s">
        <v>47</v>
      </c>
      <c r="AP13" s="101" t="s">
        <v>47</v>
      </c>
      <c r="AQ13" s="101" t="s">
        <v>47</v>
      </c>
      <c r="AR13" s="101" t="s">
        <v>47</v>
      </c>
      <c r="AS13" s="101" t="s">
        <v>47</v>
      </c>
      <c r="AT13" s="101" t="s">
        <v>47</v>
      </c>
      <c r="AU13" s="101" t="s">
        <v>47</v>
      </c>
    </row>
    <row r="14" spans="1:47" ht="14.1" customHeight="1" x14ac:dyDescent="0.25">
      <c r="A14" s="96">
        <v>12</v>
      </c>
      <c r="B14" s="103" t="s">
        <v>231</v>
      </c>
      <c r="C14" s="100" t="str">
        <f t="shared" ref="C14:N14" si="8">IF(C$62=0,"0",IF(C$57=0,"",IF(AND(C$57&lt;&gt;"",C$62&lt;&gt;"",C$57&lt;&gt;"n/a",C$62&lt;&gt;"n/a"),C$62*100/C$57,"")))</f>
        <v/>
      </c>
      <c r="D14" s="100" t="str">
        <f t="shared" si="8"/>
        <v/>
      </c>
      <c r="E14" s="100" t="str">
        <f t="shared" si="8"/>
        <v/>
      </c>
      <c r="F14" s="100" t="str">
        <f t="shared" si="8"/>
        <v/>
      </c>
      <c r="G14" s="100" t="str">
        <f t="shared" si="8"/>
        <v/>
      </c>
      <c r="H14" s="100" t="str">
        <f t="shared" si="8"/>
        <v/>
      </c>
      <c r="I14" s="100" t="str">
        <f t="shared" si="8"/>
        <v/>
      </c>
      <c r="J14" s="100" t="str">
        <f t="shared" si="8"/>
        <v/>
      </c>
      <c r="K14" s="100">
        <f t="shared" si="8"/>
        <v>0.34250299859241784</v>
      </c>
      <c r="L14" s="100">
        <f t="shared" si="8"/>
        <v>0.37729210642219257</v>
      </c>
      <c r="M14" s="100">
        <f t="shared" si="8"/>
        <v>0.32136595388801859</v>
      </c>
      <c r="N14" s="100">
        <f t="shared" si="8"/>
        <v>0.28413981486668299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 t="s">
        <v>47</v>
      </c>
      <c r="Y14" s="104"/>
      <c r="Z14" s="104" t="s">
        <v>47</v>
      </c>
      <c r="AA14" s="101" t="s">
        <v>47</v>
      </c>
      <c r="AB14" s="101" t="s">
        <v>47</v>
      </c>
      <c r="AC14" s="101" t="s">
        <v>47</v>
      </c>
      <c r="AD14" s="101" t="s">
        <v>47</v>
      </c>
      <c r="AE14" s="101" t="s">
        <v>47</v>
      </c>
      <c r="AF14" s="101" t="s">
        <v>47</v>
      </c>
      <c r="AG14" s="101" t="s">
        <v>47</v>
      </c>
      <c r="AH14" s="101" t="s">
        <v>47</v>
      </c>
      <c r="AI14" s="101" t="s">
        <v>47</v>
      </c>
      <c r="AJ14" s="101" t="s">
        <v>47</v>
      </c>
      <c r="AK14" s="101" t="s">
        <v>47</v>
      </c>
      <c r="AL14" s="101" t="s">
        <v>47</v>
      </c>
      <c r="AM14" s="101" t="s">
        <v>47</v>
      </c>
      <c r="AN14" s="101" t="s">
        <v>47</v>
      </c>
      <c r="AO14" s="101" t="s">
        <v>47</v>
      </c>
      <c r="AP14" s="101" t="s">
        <v>47</v>
      </c>
      <c r="AQ14" s="101" t="s">
        <v>47</v>
      </c>
      <c r="AR14" s="101" t="s">
        <v>47</v>
      </c>
      <c r="AS14" s="101" t="s">
        <v>47</v>
      </c>
      <c r="AT14" s="101" t="s">
        <v>47</v>
      </c>
      <c r="AU14" s="101" t="s">
        <v>47</v>
      </c>
    </row>
    <row r="15" spans="1:47" ht="14.1" customHeight="1" x14ac:dyDescent="0.25">
      <c r="A15" s="96"/>
      <c r="B15" s="105" t="s">
        <v>232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 t="s">
        <v>47</v>
      </c>
      <c r="Y15" s="104"/>
      <c r="Z15" s="104" t="s">
        <v>47</v>
      </c>
      <c r="AA15" s="101" t="s">
        <v>47</v>
      </c>
      <c r="AB15" s="101" t="s">
        <v>47</v>
      </c>
      <c r="AC15" s="101" t="s">
        <v>47</v>
      </c>
      <c r="AD15" s="101" t="s">
        <v>47</v>
      </c>
      <c r="AE15" s="101" t="s">
        <v>47</v>
      </c>
      <c r="AF15" s="101" t="s">
        <v>47</v>
      </c>
      <c r="AG15" s="101" t="s">
        <v>47</v>
      </c>
      <c r="AH15" s="101" t="s">
        <v>47</v>
      </c>
      <c r="AI15" s="101" t="s">
        <v>47</v>
      </c>
      <c r="AJ15" s="101" t="s">
        <v>47</v>
      </c>
      <c r="AK15" s="101" t="s">
        <v>47</v>
      </c>
      <c r="AL15" s="101" t="s">
        <v>47</v>
      </c>
      <c r="AM15" s="101" t="s">
        <v>47</v>
      </c>
      <c r="AN15" s="101" t="s">
        <v>47</v>
      </c>
      <c r="AO15" s="101" t="s">
        <v>47</v>
      </c>
      <c r="AP15" s="101" t="s">
        <v>47</v>
      </c>
      <c r="AQ15" s="101" t="s">
        <v>47</v>
      </c>
      <c r="AR15" s="101" t="s">
        <v>47</v>
      </c>
      <c r="AS15" s="101" t="s">
        <v>47</v>
      </c>
      <c r="AT15" s="101" t="s">
        <v>47</v>
      </c>
      <c r="AU15" s="101" t="s">
        <v>47</v>
      </c>
    </row>
    <row r="16" spans="1:47" ht="14.1" customHeight="1" x14ac:dyDescent="0.25">
      <c r="A16" s="96">
        <v>53</v>
      </c>
      <c r="B16" s="103" t="s">
        <v>233</v>
      </c>
      <c r="C16" s="100" t="str">
        <f t="shared" ref="C16:Z16" si="9">IF(C$70=0,"",IF(C$44=0,"",IF(AND(C$44&lt;&gt;"",C$70&lt;&gt;"",C$44&lt;&gt;"n/a",C$70&lt;&gt;"n/a"),C$70*100/C$44,"")))</f>
        <v/>
      </c>
      <c r="D16" s="100" t="str">
        <f t="shared" si="9"/>
        <v/>
      </c>
      <c r="E16" s="100" t="str">
        <f t="shared" si="9"/>
        <v/>
      </c>
      <c r="F16" s="100" t="str">
        <f t="shared" si="9"/>
        <v/>
      </c>
      <c r="G16" s="100" t="str">
        <f t="shared" si="9"/>
        <v/>
      </c>
      <c r="H16" s="100" t="str">
        <f t="shared" si="9"/>
        <v/>
      </c>
      <c r="I16" s="100" t="str">
        <f t="shared" si="9"/>
        <v/>
      </c>
      <c r="J16" s="100" t="str">
        <f t="shared" si="9"/>
        <v/>
      </c>
      <c r="K16" s="100">
        <f t="shared" si="9"/>
        <v>52.708874528975493</v>
      </c>
      <c r="L16" s="100">
        <f t="shared" si="9"/>
        <v>48.755175814406385</v>
      </c>
      <c r="M16" s="100">
        <f t="shared" si="9"/>
        <v>46.390864374422485</v>
      </c>
      <c r="N16" s="100">
        <f t="shared" si="9"/>
        <v>43.803373304017441</v>
      </c>
      <c r="O16" s="100">
        <f t="shared" si="9"/>
        <v>42.791897755308902</v>
      </c>
      <c r="P16" s="100">
        <f t="shared" si="9"/>
        <v>43.963870901216296</v>
      </c>
      <c r="Q16" s="100">
        <f t="shared" si="9"/>
        <v>42.902948980488731</v>
      </c>
      <c r="R16" s="100">
        <f t="shared" si="9"/>
        <v>40.295884653112587</v>
      </c>
      <c r="S16" s="100">
        <f t="shared" si="9"/>
        <v>38.403597628561158</v>
      </c>
      <c r="T16" s="100">
        <f t="shared" si="9"/>
        <v>40.675551985184107</v>
      </c>
      <c r="U16" s="100">
        <f t="shared" si="9"/>
        <v>38.271894581951315</v>
      </c>
      <c r="V16" s="100">
        <f t="shared" si="9"/>
        <v>37.97176948508173</v>
      </c>
      <c r="W16" s="100">
        <f t="shared" si="9"/>
        <v>37.189917845574961</v>
      </c>
      <c r="X16" s="100">
        <f t="shared" si="9"/>
        <v>36.85550018459535</v>
      </c>
      <c r="Y16" s="100">
        <f t="shared" si="9"/>
        <v>37.266375050623452</v>
      </c>
      <c r="Z16" s="100">
        <f t="shared" si="9"/>
        <v>38.433786770357386</v>
      </c>
      <c r="AA16" s="101" t="s">
        <v>47</v>
      </c>
      <c r="AB16" s="101" t="s">
        <v>47</v>
      </c>
      <c r="AC16" s="101" t="s">
        <v>47</v>
      </c>
      <c r="AD16" s="101" t="s">
        <v>47</v>
      </c>
      <c r="AE16" s="101" t="s">
        <v>47</v>
      </c>
      <c r="AF16" s="101" t="s">
        <v>47</v>
      </c>
      <c r="AG16" s="101" t="s">
        <v>47</v>
      </c>
      <c r="AH16" s="101" t="s">
        <v>47</v>
      </c>
      <c r="AI16" s="101" t="s">
        <v>47</v>
      </c>
      <c r="AJ16" s="101" t="s">
        <v>47</v>
      </c>
      <c r="AK16" s="101" t="s">
        <v>47</v>
      </c>
      <c r="AL16" s="101" t="s">
        <v>47</v>
      </c>
      <c r="AM16" s="101" t="s">
        <v>47</v>
      </c>
      <c r="AN16" s="101" t="s">
        <v>47</v>
      </c>
      <c r="AO16" s="101" t="s">
        <v>47</v>
      </c>
      <c r="AP16" s="101" t="s">
        <v>47</v>
      </c>
      <c r="AQ16" s="101" t="s">
        <v>47</v>
      </c>
      <c r="AR16" s="101" t="s">
        <v>47</v>
      </c>
      <c r="AS16" s="101" t="s">
        <v>47</v>
      </c>
      <c r="AT16" s="101" t="s">
        <v>47</v>
      </c>
      <c r="AU16" s="101" t="s">
        <v>47</v>
      </c>
    </row>
    <row r="17" spans="1:47" ht="14.1" customHeight="1" x14ac:dyDescent="0.25">
      <c r="A17" s="96">
        <v>54</v>
      </c>
      <c r="B17" s="103" t="s">
        <v>234</v>
      </c>
      <c r="C17" s="100" t="str">
        <f t="shared" ref="C17:U17" si="10">IF(C$71=0,"",IF(C$45=0,"",IF(AND(C$45&lt;&gt;"",C$71&lt;&gt;"",C$45&lt;&gt;"n/a",C$71&lt;&gt;"n/a"),C$71*100/C$45,"")))</f>
        <v/>
      </c>
      <c r="D17" s="100" t="str">
        <f t="shared" si="10"/>
        <v/>
      </c>
      <c r="E17" s="100" t="str">
        <f t="shared" si="10"/>
        <v/>
      </c>
      <c r="F17" s="100" t="str">
        <f t="shared" si="10"/>
        <v/>
      </c>
      <c r="G17" s="100" t="str">
        <f t="shared" si="10"/>
        <v/>
      </c>
      <c r="H17" s="100" t="str">
        <f t="shared" si="10"/>
        <v/>
      </c>
      <c r="I17" s="100" t="str">
        <f t="shared" si="10"/>
        <v/>
      </c>
      <c r="J17" s="100" t="str">
        <f t="shared" si="10"/>
        <v/>
      </c>
      <c r="K17" s="100">
        <f t="shared" si="10"/>
        <v>66.552027968052755</v>
      </c>
      <c r="L17" s="100">
        <f t="shared" si="10"/>
        <v>64.28371895305763</v>
      </c>
      <c r="M17" s="100">
        <f t="shared" si="10"/>
        <v>63.291441298122812</v>
      </c>
      <c r="N17" s="100">
        <f t="shared" si="10"/>
        <v>61.32875241571827</v>
      </c>
      <c r="O17" s="100">
        <f t="shared" si="10"/>
        <v>64.252920411448144</v>
      </c>
      <c r="P17" s="100">
        <f t="shared" si="10"/>
        <v>65.138037775139068</v>
      </c>
      <c r="Q17" s="100">
        <f t="shared" si="10"/>
        <v>63.740901336930222</v>
      </c>
      <c r="R17" s="100">
        <f t="shared" si="10"/>
        <v>59.416785057663382</v>
      </c>
      <c r="S17" s="100">
        <f t="shared" si="10"/>
        <v>57.194782980543081</v>
      </c>
      <c r="T17" s="100">
        <f t="shared" si="10"/>
        <v>60.196118929263612</v>
      </c>
      <c r="U17" s="100">
        <f t="shared" si="10"/>
        <v>55.691473682513454</v>
      </c>
      <c r="V17" s="100">
        <f>IF(V$71=0,"",IF(V$45=0,"",IF(AND(V$45&lt;&gt;"",V$71&lt;&gt;"",V$45&lt;&gt;"n/a",V$71&lt;&gt;"n/a"),V$71*100/V$45,"")))</f>
        <v>56.995488998096249</v>
      </c>
      <c r="W17" s="100">
        <f>IF(W$71=0,"",IF(W$45=0,"",IF(AND(W$45&lt;&gt;"",W$71&lt;&gt;"",W$45&lt;&gt;"n/a",W$71&lt;&gt;"n/a"),W$71*100/W$45,"")))</f>
        <v>59.034391078766127</v>
      </c>
      <c r="X17" s="100">
        <f>IF(X$71=0,"",IF(X$45=0,"",IF(AND(X$45&lt;&gt;"",X$71&lt;&gt;"",X$45&lt;&gt;"n/a",X$71&lt;&gt;"n/a"),X$71*100/X$45,"")))</f>
        <v>60.052715660707925</v>
      </c>
      <c r="Y17" s="100">
        <f>IF(Y$71=0,"",IF(Y$45=0,"",IF(AND(Y$45&lt;&gt;"",Y$71&lt;&gt;"",Y$45&lt;&gt;"n/a",Y$71&lt;&gt;"n/a"),Y$71*100/Y$45,"")))</f>
        <v>61.326101128518161</v>
      </c>
      <c r="Z17" s="100">
        <f>IF(Z$71=0,"",IF(Z$45=0,"",IF(AND(Z$45&lt;&gt;"",Z$71&lt;&gt;"",Z$45&lt;&gt;"n/a",Z$71&lt;&gt;"n/a"),Z$71*100/Z$45,"")))</f>
        <v>58.917607990614712</v>
      </c>
      <c r="AA17" s="101" t="s">
        <v>47</v>
      </c>
      <c r="AB17" s="101" t="s">
        <v>47</v>
      </c>
      <c r="AC17" s="101" t="s">
        <v>47</v>
      </c>
      <c r="AD17" s="101" t="s">
        <v>47</v>
      </c>
      <c r="AE17" s="101" t="s">
        <v>47</v>
      </c>
      <c r="AF17" s="101" t="s">
        <v>47</v>
      </c>
      <c r="AG17" s="101" t="s">
        <v>47</v>
      </c>
      <c r="AH17" s="101" t="s">
        <v>47</v>
      </c>
      <c r="AI17" s="101" t="s">
        <v>47</v>
      </c>
      <c r="AJ17" s="101" t="s">
        <v>47</v>
      </c>
      <c r="AK17" s="101" t="s">
        <v>47</v>
      </c>
      <c r="AL17" s="101" t="s">
        <v>47</v>
      </c>
      <c r="AM17" s="101" t="s">
        <v>47</v>
      </c>
      <c r="AN17" s="101" t="s">
        <v>47</v>
      </c>
      <c r="AO17" s="101" t="s">
        <v>47</v>
      </c>
      <c r="AP17" s="101" t="s">
        <v>47</v>
      </c>
      <c r="AQ17" s="101" t="s">
        <v>47</v>
      </c>
      <c r="AR17" s="101" t="s">
        <v>47</v>
      </c>
      <c r="AS17" s="101" t="s">
        <v>47</v>
      </c>
      <c r="AT17" s="101" t="s">
        <v>47</v>
      </c>
      <c r="AU17" s="101" t="s">
        <v>47</v>
      </c>
    </row>
    <row r="18" spans="1:47" ht="14.1" customHeight="1" x14ac:dyDescent="0.25">
      <c r="A18" s="96"/>
      <c r="B18" s="105" t="s">
        <v>235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4"/>
      <c r="Z18" s="104" t="s">
        <v>47</v>
      </c>
      <c r="AA18" s="101" t="s">
        <v>47</v>
      </c>
      <c r="AB18" s="101" t="s">
        <v>47</v>
      </c>
      <c r="AC18" s="101" t="s">
        <v>47</v>
      </c>
      <c r="AD18" s="101" t="s">
        <v>47</v>
      </c>
      <c r="AE18" s="101" t="s">
        <v>47</v>
      </c>
      <c r="AF18" s="101" t="s">
        <v>47</v>
      </c>
      <c r="AG18" s="101" t="s">
        <v>47</v>
      </c>
      <c r="AH18" s="101" t="s">
        <v>47</v>
      </c>
      <c r="AI18" s="101" t="s">
        <v>47</v>
      </c>
      <c r="AJ18" s="101" t="s">
        <v>47</v>
      </c>
      <c r="AK18" s="101" t="s">
        <v>47</v>
      </c>
      <c r="AL18" s="101" t="s">
        <v>47</v>
      </c>
      <c r="AM18" s="101" t="s">
        <v>47</v>
      </c>
      <c r="AN18" s="101" t="s">
        <v>47</v>
      </c>
      <c r="AO18" s="101" t="s">
        <v>47</v>
      </c>
      <c r="AP18" s="101" t="s">
        <v>47</v>
      </c>
      <c r="AQ18" s="101" t="s">
        <v>47</v>
      </c>
      <c r="AR18" s="101" t="s">
        <v>47</v>
      </c>
      <c r="AS18" s="101" t="s">
        <v>47</v>
      </c>
      <c r="AT18" s="101" t="s">
        <v>47</v>
      </c>
      <c r="AU18" s="101" t="s">
        <v>47</v>
      </c>
    </row>
    <row r="19" spans="1:47" ht="14.1" customHeight="1" x14ac:dyDescent="0.25">
      <c r="A19" s="96">
        <v>16</v>
      </c>
      <c r="B19" s="103" t="s">
        <v>236</v>
      </c>
      <c r="C19" s="100" t="str">
        <f t="shared" ref="C19:M19" si="11">IF(C$77=0,"",IF(C$44=0,"",IF(AND(C$44&lt;&gt;"",C$77&lt;&gt;"",C$44&lt;&gt;"n/a",C$77&lt;&gt;"n/a"),C$77*100/C$44,"")))</f>
        <v/>
      </c>
      <c r="D19" s="100" t="str">
        <f t="shared" si="11"/>
        <v/>
      </c>
      <c r="E19" s="100" t="str">
        <f t="shared" si="11"/>
        <v/>
      </c>
      <c r="F19" s="100" t="str">
        <f t="shared" si="11"/>
        <v/>
      </c>
      <c r="G19" s="100" t="str">
        <f t="shared" si="11"/>
        <v/>
      </c>
      <c r="H19" s="100" t="str">
        <f t="shared" si="11"/>
        <v/>
      </c>
      <c r="I19" s="100" t="str">
        <f t="shared" si="11"/>
        <v/>
      </c>
      <c r="J19" s="100" t="str">
        <f t="shared" si="11"/>
        <v/>
      </c>
      <c r="K19" s="100">
        <f t="shared" si="11"/>
        <v>44.846347274390254</v>
      </c>
      <c r="L19" s="100">
        <f t="shared" si="11"/>
        <v>39.920625904806805</v>
      </c>
      <c r="M19" s="100">
        <f t="shared" si="11"/>
        <v>37.745768430589948</v>
      </c>
      <c r="N19" s="100">
        <v>42</v>
      </c>
      <c r="O19" s="100">
        <f t="shared" ref="O19:Z19" si="12">IF(O$77=0,"",IF(O$44=0,"",IF(AND(O$44&lt;&gt;"",O$77&lt;&gt;"",O$44&lt;&gt;"n/a",O$77&lt;&gt;"n/a"),O$77*100/O$44,"")))</f>
        <v>34.079189410907915</v>
      </c>
      <c r="P19" s="100">
        <f t="shared" si="12"/>
        <v>34.141508700614331</v>
      </c>
      <c r="Q19" s="100">
        <f t="shared" si="12"/>
        <v>33.237772860903426</v>
      </c>
      <c r="R19" s="100">
        <f t="shared" si="12"/>
        <v>33.063604843846228</v>
      </c>
      <c r="S19" s="100">
        <f t="shared" si="12"/>
        <v>31.297133555013939</v>
      </c>
      <c r="T19" s="100">
        <f t="shared" si="12"/>
        <v>31.782389959311551</v>
      </c>
      <c r="U19" s="100">
        <f t="shared" si="12"/>
        <v>29.270417476110271</v>
      </c>
      <c r="V19" s="100">
        <f t="shared" si="12"/>
        <v>29.571634425661081</v>
      </c>
      <c r="W19" s="100">
        <f t="shared" si="12"/>
        <v>28.326445904876365</v>
      </c>
      <c r="X19" s="100">
        <f t="shared" si="12"/>
        <v>28.28318233464524</v>
      </c>
      <c r="Y19" s="100">
        <f t="shared" si="12"/>
        <v>29.145498583363057</v>
      </c>
      <c r="Z19" s="100">
        <f t="shared" si="12"/>
        <v>29.437782810487107</v>
      </c>
      <c r="AA19" s="101" t="s">
        <v>47</v>
      </c>
      <c r="AB19" s="101" t="s">
        <v>47</v>
      </c>
      <c r="AC19" s="101" t="s">
        <v>47</v>
      </c>
      <c r="AD19" s="101" t="s">
        <v>47</v>
      </c>
      <c r="AE19" s="101" t="s">
        <v>47</v>
      </c>
      <c r="AF19" s="101" t="s">
        <v>47</v>
      </c>
      <c r="AG19" s="101" t="s">
        <v>47</v>
      </c>
      <c r="AH19" s="101" t="s">
        <v>47</v>
      </c>
      <c r="AI19" s="101" t="s">
        <v>47</v>
      </c>
      <c r="AJ19" s="101" t="s">
        <v>47</v>
      </c>
      <c r="AK19" s="101" t="s">
        <v>47</v>
      </c>
      <c r="AL19" s="101" t="s">
        <v>47</v>
      </c>
      <c r="AM19" s="101" t="s">
        <v>47</v>
      </c>
      <c r="AN19" s="101" t="s">
        <v>47</v>
      </c>
      <c r="AO19" s="101" t="s">
        <v>47</v>
      </c>
      <c r="AP19" s="101" t="s">
        <v>47</v>
      </c>
      <c r="AQ19" s="101" t="s">
        <v>47</v>
      </c>
      <c r="AR19" s="101" t="s">
        <v>47</v>
      </c>
      <c r="AS19" s="101" t="s">
        <v>47</v>
      </c>
      <c r="AT19" s="101" t="s">
        <v>47</v>
      </c>
      <c r="AU19" s="101" t="s">
        <v>47</v>
      </c>
    </row>
    <row r="20" spans="1:47" s="106" customFormat="1" ht="14.1" customHeight="1" x14ac:dyDescent="0.25">
      <c r="A20" s="96">
        <v>17</v>
      </c>
      <c r="B20" s="103" t="s">
        <v>237</v>
      </c>
      <c r="C20" s="100" t="str">
        <f t="shared" ref="C20:M20" si="13">IF(C$78=0,"",IF(C$45=0,"",IF(AND(C$45&lt;&gt;"",C$78&lt;&gt;"",C$45&lt;&gt;"n/a",C$78&lt;&gt;"n/a"),C$78*100/C$45,"")))</f>
        <v/>
      </c>
      <c r="D20" s="100" t="str">
        <f t="shared" si="13"/>
        <v/>
      </c>
      <c r="E20" s="100" t="str">
        <f t="shared" si="13"/>
        <v/>
      </c>
      <c r="F20" s="100" t="str">
        <f t="shared" si="13"/>
        <v/>
      </c>
      <c r="G20" s="100" t="str">
        <f t="shared" si="13"/>
        <v/>
      </c>
      <c r="H20" s="100" t="str">
        <f t="shared" si="13"/>
        <v/>
      </c>
      <c r="I20" s="100" t="str">
        <f t="shared" si="13"/>
        <v/>
      </c>
      <c r="J20" s="100" t="str">
        <f t="shared" si="13"/>
        <v/>
      </c>
      <c r="K20" s="100">
        <f t="shared" si="13"/>
        <v>52.913338828411447</v>
      </c>
      <c r="L20" s="100">
        <f t="shared" si="13"/>
        <v>49.111556446225784</v>
      </c>
      <c r="M20" s="100">
        <f t="shared" si="13"/>
        <v>48.271953547566021</v>
      </c>
      <c r="N20" s="100">
        <v>53.7</v>
      </c>
      <c r="O20" s="100">
        <f t="shared" ref="O20:Z20" si="14">IF(O$78=0,"",IF(O$45=0,"",IF(AND(O$45&lt;&gt;"",O$78&lt;&gt;"",O$45&lt;&gt;"n/a",O$78&lt;&gt;"n/a"),O$78*100/O$45,"")))</f>
        <v>51.140186657640044</v>
      </c>
      <c r="P20" s="100">
        <f t="shared" si="14"/>
        <v>50.102330090840496</v>
      </c>
      <c r="Q20" s="100">
        <f t="shared" si="14"/>
        <v>49.103160119921334</v>
      </c>
      <c r="R20" s="100">
        <f t="shared" si="14"/>
        <v>50.206836035433732</v>
      </c>
      <c r="S20" s="100">
        <f t="shared" si="14"/>
        <v>47.143662409858692</v>
      </c>
      <c r="T20" s="100">
        <f t="shared" si="14"/>
        <v>47.120233131587732</v>
      </c>
      <c r="U20" s="100">
        <f t="shared" si="14"/>
        <v>45.75713145091143</v>
      </c>
      <c r="V20" s="100">
        <f t="shared" si="14"/>
        <v>47.10621707619427</v>
      </c>
      <c r="W20" s="100">
        <f t="shared" si="14"/>
        <v>44.913901921334322</v>
      </c>
      <c r="X20" s="100">
        <f t="shared" si="14"/>
        <v>46.600560130074264</v>
      </c>
      <c r="Y20" s="100">
        <f t="shared" si="14"/>
        <v>48.269553002817574</v>
      </c>
      <c r="Z20" s="100">
        <f t="shared" si="14"/>
        <v>47.073746056543051</v>
      </c>
      <c r="AA20" s="101" t="s">
        <v>47</v>
      </c>
      <c r="AB20" s="101" t="s">
        <v>47</v>
      </c>
      <c r="AC20" s="101" t="s">
        <v>47</v>
      </c>
      <c r="AD20" s="101" t="s">
        <v>47</v>
      </c>
      <c r="AE20" s="101" t="s">
        <v>47</v>
      </c>
      <c r="AF20" s="101" t="s">
        <v>47</v>
      </c>
      <c r="AG20" s="101" t="s">
        <v>47</v>
      </c>
      <c r="AH20" s="101" t="s">
        <v>47</v>
      </c>
      <c r="AI20" s="101" t="s">
        <v>47</v>
      </c>
      <c r="AJ20" s="101" t="s">
        <v>47</v>
      </c>
      <c r="AK20" s="101" t="s">
        <v>47</v>
      </c>
      <c r="AL20" s="101" t="s">
        <v>47</v>
      </c>
      <c r="AM20" s="101" t="s">
        <v>47</v>
      </c>
      <c r="AN20" s="101" t="s">
        <v>47</v>
      </c>
      <c r="AO20" s="101" t="s">
        <v>47</v>
      </c>
      <c r="AP20" s="101" t="s">
        <v>47</v>
      </c>
      <c r="AQ20" s="101" t="s">
        <v>47</v>
      </c>
      <c r="AR20" s="101" t="s">
        <v>47</v>
      </c>
      <c r="AS20" s="101" t="s">
        <v>47</v>
      </c>
      <c r="AT20" s="101" t="s">
        <v>47</v>
      </c>
      <c r="AU20" s="101" t="s">
        <v>47</v>
      </c>
    </row>
    <row r="21" spans="1:47" ht="13.5" x14ac:dyDescent="0.25">
      <c r="A21" s="96">
        <v>56</v>
      </c>
      <c r="B21" s="103" t="s">
        <v>238</v>
      </c>
      <c r="C21" s="100" t="str">
        <f t="shared" ref="C21:Z21" si="15">IF(C$81=0,"",IF(C$44=0,"",IF(AND(C$44&lt;&gt;"",C$81&lt;&gt;"",C$44&lt;&gt;"n/a",C$81&lt;&gt;"n/a"),C$81*100/C$44,"")))</f>
        <v/>
      </c>
      <c r="D21" s="100" t="str">
        <f t="shared" si="15"/>
        <v/>
      </c>
      <c r="E21" s="100" t="str">
        <f t="shared" si="15"/>
        <v/>
      </c>
      <c r="F21" s="100" t="str">
        <f t="shared" si="15"/>
        <v/>
      </c>
      <c r="G21" s="100" t="str">
        <f t="shared" si="15"/>
        <v/>
      </c>
      <c r="H21" s="100" t="str">
        <f t="shared" si="15"/>
        <v/>
      </c>
      <c r="I21" s="100" t="str">
        <f t="shared" si="15"/>
        <v/>
      </c>
      <c r="J21" s="100" t="str">
        <f t="shared" si="15"/>
        <v/>
      </c>
      <c r="K21" s="100">
        <f t="shared" si="15"/>
        <v>8.6982799272421349</v>
      </c>
      <c r="L21" s="100">
        <f t="shared" si="15"/>
        <v>8.0217545937329646</v>
      </c>
      <c r="M21" s="100">
        <f t="shared" si="15"/>
        <v>7.4331420760330111</v>
      </c>
      <c r="N21" s="100">
        <f t="shared" si="15"/>
        <v>7.3264465781695698</v>
      </c>
      <c r="O21" s="100">
        <f t="shared" si="15"/>
        <v>7.0469617769552935</v>
      </c>
      <c r="P21" s="100">
        <f t="shared" si="15"/>
        <v>6.6830236229196949</v>
      </c>
      <c r="Q21" s="100">
        <f t="shared" si="15"/>
        <v>7.4933867440096789</v>
      </c>
      <c r="R21" s="100">
        <f t="shared" si="15"/>
        <v>6.3326737675115865</v>
      </c>
      <c r="S21" s="100">
        <f t="shared" si="15"/>
        <v>6.3254476649542291</v>
      </c>
      <c r="T21" s="100">
        <f t="shared" si="15"/>
        <v>6.5545173952807465</v>
      </c>
      <c r="U21" s="100">
        <f t="shared" si="15"/>
        <v>6.4239675847348687</v>
      </c>
      <c r="V21" s="100">
        <f t="shared" si="15"/>
        <v>6.2905039193126351</v>
      </c>
      <c r="W21" s="100">
        <f t="shared" si="15"/>
        <v>6.4281694339139799</v>
      </c>
      <c r="X21" s="100">
        <f t="shared" si="15"/>
        <v>6.9563641334965984</v>
      </c>
      <c r="Y21" s="100">
        <f t="shared" si="15"/>
        <v>7.7997771472707242</v>
      </c>
      <c r="Z21" s="100">
        <f t="shared" si="15"/>
        <v>7.0730760259617211</v>
      </c>
      <c r="AA21" s="101" t="s">
        <v>47</v>
      </c>
      <c r="AB21" s="101" t="s">
        <v>47</v>
      </c>
      <c r="AC21" s="101" t="s">
        <v>47</v>
      </c>
      <c r="AD21" s="101" t="s">
        <v>47</v>
      </c>
      <c r="AE21" s="101" t="s">
        <v>47</v>
      </c>
      <c r="AF21" s="101" t="s">
        <v>47</v>
      </c>
      <c r="AG21" s="101" t="s">
        <v>47</v>
      </c>
      <c r="AH21" s="101" t="s">
        <v>47</v>
      </c>
      <c r="AI21" s="101" t="s">
        <v>47</v>
      </c>
      <c r="AJ21" s="101" t="s">
        <v>47</v>
      </c>
      <c r="AK21" s="101" t="s">
        <v>47</v>
      </c>
      <c r="AL21" s="101" t="s">
        <v>47</v>
      </c>
      <c r="AM21" s="101" t="s">
        <v>47</v>
      </c>
      <c r="AN21" s="101" t="s">
        <v>47</v>
      </c>
      <c r="AO21" s="101" t="s">
        <v>47</v>
      </c>
      <c r="AP21" s="101" t="s">
        <v>47</v>
      </c>
      <c r="AQ21" s="101" t="s">
        <v>47</v>
      </c>
      <c r="AR21" s="101" t="s">
        <v>47</v>
      </c>
      <c r="AS21" s="101" t="s">
        <v>47</v>
      </c>
      <c r="AT21" s="101" t="s">
        <v>47</v>
      </c>
      <c r="AU21" s="101" t="s">
        <v>47</v>
      </c>
    </row>
    <row r="22" spans="1:47" ht="14.1" customHeight="1" x14ac:dyDescent="0.25">
      <c r="A22" s="96"/>
      <c r="B22" s="105" t="s">
        <v>239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4"/>
      <c r="Z22" s="104" t="s">
        <v>47</v>
      </c>
      <c r="AA22" s="101" t="s">
        <v>47</v>
      </c>
      <c r="AB22" s="101" t="s">
        <v>47</v>
      </c>
      <c r="AC22" s="101" t="s">
        <v>47</v>
      </c>
      <c r="AD22" s="101" t="s">
        <v>47</v>
      </c>
      <c r="AE22" s="101" t="s">
        <v>47</v>
      </c>
      <c r="AF22" s="101" t="s">
        <v>47</v>
      </c>
      <c r="AG22" s="101" t="s">
        <v>47</v>
      </c>
      <c r="AH22" s="101" t="s">
        <v>47</v>
      </c>
      <c r="AI22" s="101" t="s">
        <v>47</v>
      </c>
      <c r="AJ22" s="101" t="s">
        <v>47</v>
      </c>
      <c r="AK22" s="101" t="s">
        <v>47</v>
      </c>
      <c r="AL22" s="101" t="s">
        <v>47</v>
      </c>
      <c r="AM22" s="101" t="s">
        <v>47</v>
      </c>
      <c r="AN22" s="101" t="s">
        <v>47</v>
      </c>
      <c r="AO22" s="101" t="s">
        <v>47</v>
      </c>
      <c r="AP22" s="101" t="s">
        <v>47</v>
      </c>
      <c r="AQ22" s="101" t="s">
        <v>47</v>
      </c>
      <c r="AR22" s="101" t="s">
        <v>47</v>
      </c>
      <c r="AS22" s="101" t="s">
        <v>47</v>
      </c>
      <c r="AT22" s="101" t="s">
        <v>47</v>
      </c>
      <c r="AU22" s="101" t="s">
        <v>47</v>
      </c>
    </row>
    <row r="23" spans="1:47" ht="14.1" customHeight="1" x14ac:dyDescent="0.25">
      <c r="A23" s="96">
        <v>14</v>
      </c>
      <c r="B23" s="103" t="s">
        <v>240</v>
      </c>
      <c r="C23" s="100">
        <f t="shared" ref="C23:Z23" si="16">IF(C$99=0,"",IF(C$44=0,"",IF(AND(C$44&lt;&gt;"",C$99&lt;&gt;"",C$44&lt;&gt;"n/a",C$99&lt;&gt;"n/a"),C$99*100/C$44,"")))</f>
        <v>23.716847929784393</v>
      </c>
      <c r="D23" s="100">
        <f t="shared" si="16"/>
        <v>24.830004249893754</v>
      </c>
      <c r="E23" s="100">
        <f t="shared" si="16"/>
        <v>22.51493086803567</v>
      </c>
      <c r="F23" s="100">
        <f t="shared" si="16"/>
        <v>16.416572009326238</v>
      </c>
      <c r="G23" s="100">
        <f t="shared" si="16"/>
        <v>15.959004392386531</v>
      </c>
      <c r="H23" s="100">
        <f t="shared" si="16"/>
        <v>15.512269162661269</v>
      </c>
      <c r="I23" s="100">
        <f t="shared" si="16"/>
        <v>21.059433145552866</v>
      </c>
      <c r="J23" s="100">
        <f t="shared" si="16"/>
        <v>21.759027605483602</v>
      </c>
      <c r="K23" s="100">
        <f t="shared" si="16"/>
        <v>24.992936680141373</v>
      </c>
      <c r="L23" s="100">
        <f t="shared" si="16"/>
        <v>22.068396276785851</v>
      </c>
      <c r="M23" s="100">
        <f t="shared" si="16"/>
        <v>23.125549627968876</v>
      </c>
      <c r="N23" s="100">
        <f t="shared" si="16"/>
        <v>25.373347633044755</v>
      </c>
      <c r="O23" s="100">
        <f t="shared" si="16"/>
        <v>28.996429959509467</v>
      </c>
      <c r="P23" s="100">
        <f t="shared" si="16"/>
        <v>27.985282292552469</v>
      </c>
      <c r="Q23" s="100">
        <f t="shared" si="16"/>
        <v>29.585974115927641</v>
      </c>
      <c r="R23" s="100">
        <f t="shared" si="16"/>
        <v>30.892628268392635</v>
      </c>
      <c r="S23" s="100">
        <f t="shared" si="16"/>
        <v>31.266590505428454</v>
      </c>
      <c r="T23" s="100">
        <f t="shared" si="16"/>
        <v>30.899465506304303</v>
      </c>
      <c r="U23" s="100">
        <f t="shared" si="16"/>
        <v>31.14837029660606</v>
      </c>
      <c r="V23" s="100">
        <f t="shared" si="16"/>
        <v>32.522841062658536</v>
      </c>
      <c r="W23" s="100">
        <f t="shared" si="16"/>
        <v>33.13277528397748</v>
      </c>
      <c r="X23" s="100">
        <f t="shared" si="16"/>
        <v>33.25668562831094</v>
      </c>
      <c r="Y23" s="100">
        <f t="shared" si="16"/>
        <v>32.589786878270168</v>
      </c>
      <c r="Z23" s="100">
        <f t="shared" si="16"/>
        <v>32.694235927256493</v>
      </c>
    </row>
    <row r="24" spans="1:47" ht="14.1" customHeight="1" x14ac:dyDescent="0.25">
      <c r="A24" s="96">
        <v>15</v>
      </c>
      <c r="B24" s="103" t="s">
        <v>241</v>
      </c>
      <c r="C24" s="100">
        <f t="shared" ref="C24:U24" si="17">IF(C$100=0,"",IF(C$57=0,"",IF(AND(C$57&lt;&gt;"",C$100&lt;&gt;"",C$57&lt;&gt;"n/a",C$100&lt;&gt;"n/a"),C$100*100/C$57,"")))</f>
        <v>62.27106227106227</v>
      </c>
      <c r="D24" s="100">
        <f t="shared" si="17"/>
        <v>64.984709480122319</v>
      </c>
      <c r="E24" s="100">
        <f t="shared" si="17"/>
        <v>61.025223759153782</v>
      </c>
      <c r="F24" s="100">
        <f t="shared" si="17"/>
        <v>41.689827682045582</v>
      </c>
      <c r="G24" s="100">
        <f t="shared" si="17"/>
        <v>40.534618755477652</v>
      </c>
      <c r="H24" s="100">
        <f t="shared" si="17"/>
        <v>39.380739345420295</v>
      </c>
      <c r="I24" s="100">
        <f t="shared" si="17"/>
        <v>50.446576248759513</v>
      </c>
      <c r="J24" s="100">
        <f t="shared" si="17"/>
        <v>42.477126397831242</v>
      </c>
      <c r="K24" s="100">
        <f t="shared" si="17"/>
        <v>49.62182611025974</v>
      </c>
      <c r="L24" s="100">
        <f t="shared" si="17"/>
        <v>49.457344494645859</v>
      </c>
      <c r="M24" s="100">
        <f t="shared" si="17"/>
        <v>54.559270927283762</v>
      </c>
      <c r="N24" s="100">
        <f t="shared" si="17"/>
        <v>49.125897471262412</v>
      </c>
      <c r="O24" s="100">
        <f t="shared" si="17"/>
        <v>52.527318783000396</v>
      </c>
      <c r="P24" s="100">
        <f t="shared" si="17"/>
        <v>51.203497254084063</v>
      </c>
      <c r="Q24" s="100">
        <f t="shared" si="17"/>
        <v>52.460538532961934</v>
      </c>
      <c r="R24" s="100">
        <f t="shared" si="17"/>
        <v>55.319098589310862</v>
      </c>
      <c r="S24" s="100">
        <f t="shared" si="17"/>
        <v>55.225260064269165</v>
      </c>
      <c r="T24" s="100">
        <f t="shared" si="17"/>
        <v>56.023108833584978</v>
      </c>
      <c r="U24" s="100">
        <f t="shared" si="17"/>
        <v>55.041041270356281</v>
      </c>
      <c r="V24" s="100">
        <f>IF(V$100=0,"",IF(V$57=0,"",IF(AND(V$57&lt;&gt;"",V$100&lt;&gt;"",V$57&lt;&gt;"n/a",V$100&lt;&gt;"n/a"),V$100*100/V$57,"")))</f>
        <v>56.32339598704111</v>
      </c>
      <c r="W24" s="100">
        <f>IF(W$100=0,"",IF(W$57=0,"",IF(AND(W$57&lt;&gt;"",W$100&lt;&gt;"",W$57&lt;&gt;"n/a",W$100&lt;&gt;"n/a"),W$100*100/W$57,"")))</f>
        <v>55.748448123010455</v>
      </c>
      <c r="X24" s="100">
        <f>IF(X$100=0,"",IF(X$57=0,"",IF(AND(X$57&lt;&gt;"",X$100&lt;&gt;"",X$57&lt;&gt;"n/a",X$100&lt;&gt;"n/a"),X$100*100/X$57,"")))</f>
        <v>58.988169861652217</v>
      </c>
      <c r="Y24" s="100">
        <f>IF(Y$100=0,"",IF(Y$57=0,"",IF(AND(Y$57&lt;&gt;"",Y$100&lt;&gt;"",Y$57&lt;&gt;"n/a",Y$100&lt;&gt;"n/a"),Y$100*100/Y$57,"")))</f>
        <v>58.0714915605475</v>
      </c>
      <c r="Z24" s="100">
        <f>IF(Z$100=0,"",IF(Z$57=0,"",IF(AND(Z$57&lt;&gt;"",Z$100&lt;&gt;"",Z$57&lt;&gt;"n/a",Z$100&lt;&gt;"n/a"),Z$100*100/Z$57,"")))</f>
        <v>59.462144754382862</v>
      </c>
    </row>
    <row r="25" spans="1:47" ht="14.1" customHeight="1" x14ac:dyDescent="0.25">
      <c r="A25" s="96">
        <v>1350</v>
      </c>
      <c r="B25" s="103" t="s">
        <v>242</v>
      </c>
      <c r="C25" s="100" t="str">
        <f t="shared" ref="C25:J25" si="18">IF(C$90=0,"",IF(C$44=0,"",IF(AND(C$44&lt;&gt;"",C$90&lt;&gt;"",C$44&lt;&gt;"n/a",C$90&lt;&gt;"n/a"),C$90*100/C$44,"")))</f>
        <v/>
      </c>
      <c r="D25" s="100" t="str">
        <f t="shared" si="18"/>
        <v/>
      </c>
      <c r="E25" s="100" t="str">
        <f t="shared" si="18"/>
        <v/>
      </c>
      <c r="F25" s="100" t="str">
        <f t="shared" si="18"/>
        <v/>
      </c>
      <c r="G25" s="100" t="str">
        <f t="shared" si="18"/>
        <v/>
      </c>
      <c r="H25" s="100" t="str">
        <f t="shared" si="18"/>
        <v/>
      </c>
      <c r="I25" s="100" t="str">
        <f t="shared" si="18"/>
        <v/>
      </c>
      <c r="J25" s="100" t="str">
        <f t="shared" si="18"/>
        <v/>
      </c>
      <c r="K25" s="100"/>
      <c r="L25" s="100">
        <f t="shared" ref="L25:U25" si="19">IF(L$95=0,"",IF(L$45=0,"",IF(AND(L$45&lt;&gt;"",L$95&lt;&gt;"",L$45&lt;&gt;"n/a",L$95&lt;&gt;"n/a"),L$95*100/L$45,"")))</f>
        <v>60.642497115443007</v>
      </c>
      <c r="M25" s="100">
        <f t="shared" si="19"/>
        <v>59.533089405027042</v>
      </c>
      <c r="N25" s="100">
        <f t="shared" si="19"/>
        <v>59.890057977238563</v>
      </c>
      <c r="O25" s="100">
        <f t="shared" si="19"/>
        <v>61.237107704636045</v>
      </c>
      <c r="P25" s="100">
        <f t="shared" si="19"/>
        <v>61.187770167116092</v>
      </c>
      <c r="Q25" s="100">
        <f t="shared" si="19"/>
        <v>59.948200329840347</v>
      </c>
      <c r="R25" s="100">
        <f t="shared" si="19"/>
        <v>56.164775718702998</v>
      </c>
      <c r="S25" s="100">
        <f t="shared" si="19"/>
        <v>57.171093066651117</v>
      </c>
      <c r="T25" s="100">
        <f t="shared" si="19"/>
        <v>57.096329294910689</v>
      </c>
      <c r="U25" s="100">
        <f t="shared" si="19"/>
        <v>55.334021098338177</v>
      </c>
      <c r="V25" s="100">
        <f>IF(V$95=0,"",IF(V$45=0,"",IF(AND(V$45&lt;&gt;"",V$95&lt;&gt;"",V$45&lt;&gt;"n/a",V$95&lt;&gt;"n/a"),V$95*100/V$45,"")))</f>
        <v>55.479454996236775</v>
      </c>
      <c r="W25" s="100">
        <f>IF(W$95=0,"",IF(W$45=0,"",IF(AND(W$45&lt;&gt;"",W$95&lt;&gt;"",W$45&lt;&gt;"n/a",W$95&lt;&gt;"n/a"),W$95*100/W$45,"")))</f>
        <v>51.872482500379348</v>
      </c>
      <c r="X25" s="100">
        <f>IF(X$95=0,"",IF(X$45=0,"",IF(AND(X$45&lt;&gt;"",X$95&lt;&gt;"",X$45&lt;&gt;"n/a",X$95&lt;&gt;"n/a"),X$95*100/X$45,"")))</f>
        <v>51.561734383656038</v>
      </c>
      <c r="Y25" s="100">
        <f>IF(Y$95=0,"",IF(Y$45=0,"",IF(AND(Y$45&lt;&gt;"",Y$95&lt;&gt;"",Y$45&lt;&gt;"n/a",Y$95&lt;&gt;"n/a"),Y$95*100/Y$45,"")))</f>
        <v>52.207282797148906</v>
      </c>
      <c r="Z25" s="100">
        <f>IF(Z$95=0,"",IF(Z$45=0,"",IF(AND(Z$45&lt;&gt;"",Z$95&lt;&gt;"",Z$45&lt;&gt;"n/a",Z$95&lt;&gt;"n/a"),Z$95*100/Z$45,"")))</f>
        <v>50.286230325455428</v>
      </c>
    </row>
    <row r="26" spans="1:47" ht="14.1" customHeight="1" x14ac:dyDescent="0.25">
      <c r="A26" s="96">
        <v>45</v>
      </c>
      <c r="B26" s="103" t="s">
        <v>243</v>
      </c>
      <c r="C26" s="100" t="str">
        <f t="shared" ref="C26:J26" si="20">IF(C$95=0,"",IF(C$45=0,"",IF(AND(C$45&lt;&gt;"",C$95&lt;&gt;"",C$45&lt;&gt;"n/a",C$95&lt;&gt;"n/a"),C$95*100/C$45,"")))</f>
        <v/>
      </c>
      <c r="D26" s="100" t="str">
        <f t="shared" si="20"/>
        <v/>
      </c>
      <c r="E26" s="100" t="str">
        <f t="shared" si="20"/>
        <v/>
      </c>
      <c r="F26" s="100" t="str">
        <f t="shared" si="20"/>
        <v/>
      </c>
      <c r="G26" s="100" t="str">
        <f t="shared" si="20"/>
        <v/>
      </c>
      <c r="H26" s="100" t="str">
        <f t="shared" si="20"/>
        <v/>
      </c>
      <c r="I26" s="100" t="str">
        <f t="shared" si="20"/>
        <v/>
      </c>
      <c r="J26" s="100" t="str">
        <f t="shared" si="20"/>
        <v/>
      </c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</row>
    <row r="27" spans="1:47" ht="14.1" customHeight="1" x14ac:dyDescent="0.25">
      <c r="A27" s="96">
        <v>47</v>
      </c>
      <c r="B27" s="103" t="s">
        <v>244</v>
      </c>
      <c r="C27" s="100" t="str">
        <f t="shared" ref="C27:Z27" si="21">IF(C$83=0,"",IF(C$44=0,"",IF(AND(C$44&lt;&gt;"",C$83&lt;&gt;"",C$44&lt;&gt;"n/a",C$83&lt;&gt;"n/a"),C$83*100/C$44,"")))</f>
        <v/>
      </c>
      <c r="D27" s="100" t="str">
        <f t="shared" si="21"/>
        <v/>
      </c>
      <c r="E27" s="100" t="str">
        <f t="shared" si="21"/>
        <v/>
      </c>
      <c r="F27" s="100" t="str">
        <f t="shared" si="21"/>
        <v/>
      </c>
      <c r="G27" s="100" t="str">
        <f t="shared" si="21"/>
        <v/>
      </c>
      <c r="H27" s="100" t="str">
        <f t="shared" si="21"/>
        <v/>
      </c>
      <c r="I27" s="100" t="str">
        <f t="shared" si="21"/>
        <v/>
      </c>
      <c r="J27" s="100" t="str">
        <f t="shared" si="21"/>
        <v/>
      </c>
      <c r="K27" s="100">
        <f t="shared" si="21"/>
        <v>2.1997736209135765</v>
      </c>
      <c r="L27" s="100">
        <f t="shared" si="21"/>
        <v>2.1498937830175597</v>
      </c>
      <c r="M27" s="100">
        <f t="shared" si="21"/>
        <v>1.8431935109089628</v>
      </c>
      <c r="N27" s="100">
        <f t="shared" si="21"/>
        <v>2.7857705136580946</v>
      </c>
      <c r="O27" s="100">
        <f t="shared" si="21"/>
        <v>3.1925709171543959</v>
      </c>
      <c r="P27" s="100">
        <f t="shared" si="21"/>
        <v>3.1768331491118174</v>
      </c>
      <c r="Q27" s="100">
        <f t="shared" si="21"/>
        <v>2.4569958240537155</v>
      </c>
      <c r="R27" s="100">
        <f t="shared" si="21"/>
        <v>2.4501852329695066</v>
      </c>
      <c r="S27" s="100">
        <f t="shared" si="21"/>
        <v>2.3362018924396044</v>
      </c>
      <c r="T27" s="100">
        <f t="shared" si="21"/>
        <v>2.3192838659647905</v>
      </c>
      <c r="U27" s="100">
        <f t="shared" si="21"/>
        <v>3.5044237226223496</v>
      </c>
      <c r="V27" s="100">
        <f t="shared" si="21"/>
        <v>3.9889883786892324</v>
      </c>
      <c r="W27" s="100">
        <f t="shared" si="21"/>
        <v>3.5763222943997928</v>
      </c>
      <c r="X27" s="100">
        <f t="shared" si="21"/>
        <v>3.3826408115929918</v>
      </c>
      <c r="Y27" s="100">
        <f t="shared" si="21"/>
        <v>3.7950342056059481</v>
      </c>
      <c r="Z27" s="100">
        <f t="shared" si="21"/>
        <v>3.3375432522264217</v>
      </c>
    </row>
    <row r="28" spans="1:47" ht="14.1" customHeight="1" x14ac:dyDescent="0.25">
      <c r="A28" s="96">
        <v>48</v>
      </c>
      <c r="B28" s="103" t="s">
        <v>245</v>
      </c>
      <c r="C28" s="100" t="str">
        <f t="shared" ref="C28:N28" si="22">IF(C$84=0,"",IF(C$45=0,"",IF(AND(C$45&lt;&gt;"",C$84&lt;&gt;"",C$45&lt;&gt;"n/a",C$84&lt;&gt;"n/a"),C$84*100/C$45,"")))</f>
        <v/>
      </c>
      <c r="D28" s="100" t="str">
        <f t="shared" si="22"/>
        <v/>
      </c>
      <c r="E28" s="100" t="str">
        <f t="shared" si="22"/>
        <v/>
      </c>
      <c r="F28" s="100" t="str">
        <f t="shared" si="22"/>
        <v/>
      </c>
      <c r="G28" s="100" t="str">
        <f t="shared" si="22"/>
        <v/>
      </c>
      <c r="H28" s="100" t="str">
        <f t="shared" si="22"/>
        <v/>
      </c>
      <c r="I28" s="100" t="str">
        <f t="shared" si="22"/>
        <v/>
      </c>
      <c r="J28" s="100" t="str">
        <f t="shared" si="22"/>
        <v/>
      </c>
      <c r="K28" s="100" t="str">
        <f t="shared" si="22"/>
        <v/>
      </c>
      <c r="L28" s="100" t="str">
        <f t="shared" si="22"/>
        <v/>
      </c>
      <c r="M28" s="100" t="str">
        <f t="shared" si="22"/>
        <v/>
      </c>
      <c r="N28" s="100" t="str">
        <f t="shared" si="22"/>
        <v/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spans="1:47" ht="26.1" customHeight="1" x14ac:dyDescent="0.25">
      <c r="A29" s="92" t="s">
        <v>246</v>
      </c>
      <c r="B29" s="93" t="s">
        <v>247</v>
      </c>
      <c r="C29" s="107">
        <v>1995</v>
      </c>
      <c r="D29" s="107">
        <v>1996</v>
      </c>
      <c r="E29" s="107">
        <v>1997</v>
      </c>
      <c r="F29" s="107">
        <v>1998</v>
      </c>
      <c r="G29" s="107">
        <v>1999</v>
      </c>
      <c r="H29" s="107">
        <v>2000</v>
      </c>
      <c r="I29" s="107">
        <v>2001</v>
      </c>
      <c r="J29" s="107">
        <v>2002</v>
      </c>
      <c r="K29" s="107">
        <v>2003</v>
      </c>
      <c r="L29" s="107">
        <v>2004</v>
      </c>
      <c r="M29" s="107">
        <v>2005</v>
      </c>
      <c r="N29" s="107">
        <v>2006</v>
      </c>
      <c r="O29" s="107">
        <v>2007</v>
      </c>
      <c r="P29" s="107">
        <v>2008</v>
      </c>
      <c r="Q29" s="107">
        <v>2009</v>
      </c>
      <c r="R29" s="108">
        <v>2010</v>
      </c>
      <c r="S29" s="108">
        <v>2011</v>
      </c>
      <c r="T29" s="108">
        <v>2012</v>
      </c>
      <c r="U29" s="109">
        <v>2013</v>
      </c>
      <c r="V29" s="92">
        <v>2014</v>
      </c>
      <c r="W29" s="92">
        <v>2015</v>
      </c>
      <c r="X29" s="92">
        <v>2016</v>
      </c>
      <c r="Y29" s="92">
        <v>2017</v>
      </c>
      <c r="Z29" s="92">
        <v>2018</v>
      </c>
    </row>
    <row r="30" spans="1:47" ht="14.1" customHeight="1" x14ac:dyDescent="0.25">
      <c r="A30" s="96">
        <v>19</v>
      </c>
      <c r="B30" s="97" t="s">
        <v>248</v>
      </c>
      <c r="C30" s="110">
        <f t="shared" ref="C30:Z30" si="23">IF(C$44="","n/a",IF(AND(C$130&lt;&gt;0,C$132&lt;&gt;0,C$132&lt;&gt;"",C$130&lt;&gt;""),1000*(C$44/C$132)/C$130,""))</f>
        <v>111.51265047816619</v>
      </c>
      <c r="D30" s="110">
        <f t="shared" si="23"/>
        <v>192.67553197175991</v>
      </c>
      <c r="E30" s="110">
        <f t="shared" si="23"/>
        <v>219.43979068069387</v>
      </c>
      <c r="F30" s="110">
        <f t="shared" si="23"/>
        <v>156.26430009390572</v>
      </c>
      <c r="G30" s="110">
        <f t="shared" si="23"/>
        <v>96.969828665990548</v>
      </c>
      <c r="H30" s="110">
        <f t="shared" si="23"/>
        <v>96.073105250166449</v>
      </c>
      <c r="I30" s="110">
        <f>IF(I$44="","n/a",IF(AND(I$130&lt;&gt;0,I$132&lt;&gt;0,I$132&lt;&gt;"",I$130&lt;&gt;""),1000*(I$44/I$132)/I$130,""))</f>
        <v>156.97044847319765</v>
      </c>
      <c r="J30" s="110">
        <f t="shared" si="23"/>
        <v>179.16626473587328</v>
      </c>
      <c r="K30" s="110">
        <f t="shared" si="23"/>
        <v>230.8550219332686</v>
      </c>
      <c r="L30" s="110">
        <f t="shared" si="23"/>
        <v>273.01273416116555</v>
      </c>
      <c r="M30" s="110">
        <f t="shared" si="23"/>
        <v>304.758369511936</v>
      </c>
      <c r="N30" s="110">
        <f t="shared" si="23"/>
        <v>373.16084891855149</v>
      </c>
      <c r="O30" s="110">
        <f t="shared" si="23"/>
        <v>549.4721979426846</v>
      </c>
      <c r="P30" s="110">
        <f t="shared" si="23"/>
        <v>672.10701020285796</v>
      </c>
      <c r="Q30" s="110">
        <f t="shared" si="23"/>
        <v>576.42969177783073</v>
      </c>
      <c r="R30" s="110">
        <f t="shared" si="23"/>
        <v>541.02669545338949</v>
      </c>
      <c r="S30" s="110">
        <f t="shared" si="23"/>
        <v>627.53048357114585</v>
      </c>
      <c r="T30" s="110">
        <f t="shared" si="23"/>
        <v>559.65225536398441</v>
      </c>
      <c r="U30" s="110">
        <f t="shared" si="23"/>
        <v>630.04849626443263</v>
      </c>
      <c r="V30" s="110">
        <f t="shared" si="23"/>
        <v>604.88979277078693</v>
      </c>
      <c r="W30" s="110">
        <f t="shared" si="23"/>
        <v>492.07781154172898</v>
      </c>
      <c r="X30" s="110">
        <f t="shared" si="23"/>
        <v>487.38497879315241</v>
      </c>
      <c r="Y30" s="110">
        <f t="shared" si="23"/>
        <v>514.38485825758085</v>
      </c>
      <c r="Z30" s="110">
        <f t="shared" si="23"/>
        <v>599.88144304190496</v>
      </c>
    </row>
    <row r="31" spans="1:47" ht="14.1" customHeight="1" x14ac:dyDescent="0.25">
      <c r="A31" s="96">
        <v>21</v>
      </c>
      <c r="B31" s="97" t="s">
        <v>249</v>
      </c>
      <c r="C31" s="110">
        <f>IF(C$44="","n/a",IF(AND(C$131&lt;&gt;0,C$132&lt;&gt;0,C$132&lt;&gt;"",C$131&lt;&gt;""),1000*(C$44/C$132)/C$131,""))</f>
        <v>334.60355396945084</v>
      </c>
      <c r="D31" s="110">
        <f t="shared" ref="D31:Z31" si="24">IF(D$44="","n/a",IF(AND(D$131&lt;&gt;0,D$132&lt;&gt;0,D$132&lt;&gt;"",D$131&lt;&gt;""),1000*(D$44/D$132)/D$131,""))</f>
        <v>332.34300541753015</v>
      </c>
      <c r="E31" s="110">
        <f t="shared" si="24"/>
        <v>373.66706687940797</v>
      </c>
      <c r="F31" s="110">
        <f t="shared" si="24"/>
        <v>416.65309160693079</v>
      </c>
      <c r="G31" s="110">
        <f t="shared" si="24"/>
        <v>406.51122857466322</v>
      </c>
      <c r="H31" s="110">
        <f t="shared" si="24"/>
        <v>552.84370953137807</v>
      </c>
      <c r="I31" s="110">
        <f t="shared" si="24"/>
        <v>603.47519590113438</v>
      </c>
      <c r="J31" s="110">
        <f t="shared" si="24"/>
        <v>562.02137034241753</v>
      </c>
      <c r="K31" s="110">
        <f t="shared" si="24"/>
        <v>586.99949234196572</v>
      </c>
      <c r="L31" s="110">
        <f t="shared" si="24"/>
        <v>668.13934949482609</v>
      </c>
      <c r="M31" s="110">
        <f t="shared" si="24"/>
        <v>771.01644664800801</v>
      </c>
      <c r="N31" s="110">
        <f t="shared" si="24"/>
        <v>889.79551119983671</v>
      </c>
      <c r="O31" s="110">
        <f t="shared" si="24"/>
        <v>1046.9284874586685</v>
      </c>
      <c r="P31" s="110">
        <f t="shared" si="24"/>
        <v>1194.9921038647069</v>
      </c>
      <c r="Q31" s="110">
        <f t="shared" si="24"/>
        <v>1169.2210147785197</v>
      </c>
      <c r="R31" s="110">
        <f t="shared" si="24"/>
        <v>1193.0327089326422</v>
      </c>
      <c r="S31" s="110">
        <f t="shared" si="24"/>
        <v>1221.5887591714966</v>
      </c>
      <c r="T31" s="110">
        <f t="shared" si="24"/>
        <v>1266.6217043341467</v>
      </c>
      <c r="U31" s="110">
        <f t="shared" si="24"/>
        <v>1287.4101459238539</v>
      </c>
      <c r="V31" s="110">
        <f t="shared" si="24"/>
        <v>1254.0988876387321</v>
      </c>
      <c r="W31" s="110">
        <f t="shared" si="24"/>
        <v>1275.352040973972</v>
      </c>
      <c r="X31" s="110">
        <f t="shared" si="24"/>
        <v>1261.4237326833388</v>
      </c>
      <c r="Y31" s="110">
        <f t="shared" si="24"/>
        <v>1318.6224707291412</v>
      </c>
      <c r="Z31" s="110">
        <f t="shared" si="24"/>
        <v>1436.9253170538652</v>
      </c>
    </row>
    <row r="32" spans="1:47" ht="14.1" customHeight="1" x14ac:dyDescent="0.25">
      <c r="A32" s="96">
        <v>20</v>
      </c>
      <c r="B32" s="97" t="s">
        <v>250</v>
      </c>
      <c r="C32" s="110">
        <f t="shared" ref="C32:U32" si="25">IF(C$45="","n/a",IF(AND(C$130&lt;&gt;0,C$132&lt;&gt;0,C$132&lt;&gt;"",C$130&lt;&gt;""),1000*(C$45/C$132)/C$130,""))</f>
        <v>88.278188672755491</v>
      </c>
      <c r="D32" s="110">
        <f t="shared" si="25"/>
        <v>152.53138426706153</v>
      </c>
      <c r="E32" s="110">
        <f t="shared" si="25"/>
        <v>175.29330902448623</v>
      </c>
      <c r="F32" s="110">
        <f t="shared" si="25"/>
        <v>122.65164081621856</v>
      </c>
      <c r="G32" s="110">
        <f t="shared" si="25"/>
        <v>76.067250002996118</v>
      </c>
      <c r="H32" s="110">
        <f t="shared" si="25"/>
        <v>75.429418025402626</v>
      </c>
      <c r="I32" s="110">
        <f t="shared" si="25"/>
        <v>121.24870657631975</v>
      </c>
      <c r="J32" s="110">
        <f t="shared" si="25"/>
        <v>130.2938588987615</v>
      </c>
      <c r="K32" s="110">
        <f t="shared" si="25"/>
        <v>163.76663822879289</v>
      </c>
      <c r="L32" s="110">
        <f t="shared" si="25"/>
        <v>187.96730787858812</v>
      </c>
      <c r="M32" s="110">
        <f t="shared" si="25"/>
        <v>201.12645286518145</v>
      </c>
      <c r="N32" s="110">
        <f t="shared" si="25"/>
        <v>235.09809930331576</v>
      </c>
      <c r="O32" s="110">
        <f t="shared" si="25"/>
        <v>337.23362736892761</v>
      </c>
      <c r="P32" s="110">
        <f t="shared" si="25"/>
        <v>416.60219224427192</v>
      </c>
      <c r="Q32" s="110">
        <f t="shared" si="25"/>
        <v>356.59550933003305</v>
      </c>
      <c r="R32" s="110">
        <f t="shared" si="25"/>
        <v>334.73630191572863</v>
      </c>
      <c r="S32" s="110">
        <f t="shared" si="25"/>
        <v>390.01967084096373</v>
      </c>
      <c r="T32" s="110">
        <f t="shared" si="25"/>
        <v>342.30138578211756</v>
      </c>
      <c r="U32" s="110">
        <f t="shared" si="25"/>
        <v>381.18432189435043</v>
      </c>
      <c r="V32" s="110">
        <f>IF(V$45="","n/a",IF(AND(V$130&lt;&gt;0,V$132&lt;&gt;0,V$132&lt;&gt;"",V$130&lt;&gt;""),1000*(V$45/V$132)/V$130,""))</f>
        <v>355.52586689653657</v>
      </c>
      <c r="W32" s="110">
        <f>IF(W$45="","n/a",IF(AND(W$130&lt;&gt;0,W$132&lt;&gt;0,W$132&lt;&gt;"",W$130&lt;&gt;""),1000*(W$45/W$132)/W$130,""))</f>
        <v>285.73052356305402</v>
      </c>
      <c r="X32" s="110">
        <f>IF(X$45="","n/a",IF(AND(X$130&lt;&gt;0,X$132&lt;&gt;0,X$132&lt;&gt;"",X$130&lt;&gt;""),1000*(X$45/X$132)/X$130,""))</f>
        <v>282.64871199969508</v>
      </c>
      <c r="Y32" s="110">
        <f>IF(Y$45="","n/a",IF(AND(Y$130&lt;&gt;0,Y$132&lt;&gt;0,Y$132&lt;&gt;"",Y$130&lt;&gt;""),1000*(Y$45/Y$132)/Y$130,""))</f>
        <v>296.51947922424546</v>
      </c>
      <c r="Z32" s="110">
        <f>IF(Z$52="","n/a",IF(AND(Z$130&lt;&gt;0,Z$132&lt;&gt;0,Z$132&lt;&gt;"",Z$130&lt;&gt;""),1000*(Z$52/Z$132)/Z$130,""))</f>
        <v>337.05768756728531</v>
      </c>
    </row>
    <row r="33" spans="1:26" ht="14.1" customHeight="1" x14ac:dyDescent="0.25">
      <c r="A33" s="96">
        <v>22</v>
      </c>
      <c r="B33" s="97" t="s">
        <v>251</v>
      </c>
      <c r="C33" s="110">
        <f t="shared" ref="C33:U33" si="26">IF(C$45="","n/a",IF(AND(C$131&lt;&gt;0,C$132&lt;&gt;0,C$132&lt;&gt;"",C$131&lt;&gt;""),1000*(C$45/C$132)/C$131,""))</f>
        <v>264.8864997937896</v>
      </c>
      <c r="D33" s="110">
        <f t="shared" si="26"/>
        <v>263.09899419528443</v>
      </c>
      <c r="E33" s="110">
        <f t="shared" si="26"/>
        <v>298.49343377325857</v>
      </c>
      <c r="F33" s="110">
        <f t="shared" si="26"/>
        <v>327.03045613124851</v>
      </c>
      <c r="G33" s="110">
        <f t="shared" si="26"/>
        <v>318.88466421369577</v>
      </c>
      <c r="H33" s="110">
        <f t="shared" si="26"/>
        <v>434.05153981826072</v>
      </c>
      <c r="I33" s="110">
        <f t="shared" si="26"/>
        <v>466.14243423275582</v>
      </c>
      <c r="J33" s="110">
        <f t="shared" si="26"/>
        <v>408.71496223597705</v>
      </c>
      <c r="K33" s="110">
        <f t="shared" si="26"/>
        <v>416.41257226208216</v>
      </c>
      <c r="L33" s="110">
        <f t="shared" si="26"/>
        <v>460.00914645305869</v>
      </c>
      <c r="M33" s="110">
        <f t="shared" si="26"/>
        <v>508.83525615186363</v>
      </c>
      <c r="N33" s="110">
        <f t="shared" si="26"/>
        <v>560.58730185106538</v>
      </c>
      <c r="O33" s="110">
        <f t="shared" si="26"/>
        <v>642.54295803038838</v>
      </c>
      <c r="P33" s="110">
        <f t="shared" si="26"/>
        <v>740.70992063357994</v>
      </c>
      <c r="Q33" s="110">
        <f t="shared" si="26"/>
        <v>723.31278078059552</v>
      </c>
      <c r="R33" s="110">
        <f t="shared" si="26"/>
        <v>738.13614080161665</v>
      </c>
      <c r="S33" s="110">
        <f t="shared" si="26"/>
        <v>759.23585901954334</v>
      </c>
      <c r="T33" s="110">
        <f t="shared" si="26"/>
        <v>774.70672279039559</v>
      </c>
      <c r="U33" s="110">
        <f t="shared" si="26"/>
        <v>778.89331755174317</v>
      </c>
      <c r="V33" s="110">
        <f>IF(V$45="","n/a",IF(AND(V$131&lt;&gt;0,V$132&lt;&gt;0,V$132&lt;&gt;"",V$131&lt;&gt;""),1000*(V$45/V$132)/V$131,""))</f>
        <v>737.10054216553056</v>
      </c>
      <c r="W33" s="110">
        <f>IF(W$45="","n/a",IF(AND(W$131&lt;&gt;0,W$132&lt;&gt;0,W$132&lt;&gt;"",W$131&lt;&gt;""),1000*(W$45/W$132)/W$131,""))</f>
        <v>740.54752693070839</v>
      </c>
      <c r="X33" s="110">
        <f>IF(X$45="","n/a",IF(AND(X$131&lt;&gt;0,X$132&lt;&gt;0,X$132&lt;&gt;"",X$131&lt;&gt;""),1000*(X$45/X$132)/X$131,""))</f>
        <v>731.53627797813181</v>
      </c>
      <c r="Y33" s="110">
        <f>IF(Y$45="","n/a",IF(AND(Y$131&lt;&gt;0,Y$132&lt;&gt;0,Y$132&lt;&gt;"",Y$131&lt;&gt;""),1000*(Y$45/Y$132)/Y$131,""))</f>
        <v>760.1258902496678</v>
      </c>
      <c r="Z33" s="110">
        <f>IF(Z$45="","n/a",IF(AND(Z$131&lt;&gt;0,Z$132&lt;&gt;0,Z$132&lt;&gt;"",Z$131&lt;&gt;""),1000*(Z$45/Z$132)/Z$131,""))</f>
        <v>862.64158424834159</v>
      </c>
    </row>
    <row r="34" spans="1:26" ht="23.25" customHeight="1" x14ac:dyDescent="0.25">
      <c r="A34" s="111"/>
      <c r="B34" s="112"/>
      <c r="C34" s="113" t="s">
        <v>252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5"/>
      <c r="S34" s="115"/>
      <c r="T34" s="115"/>
      <c r="U34" s="116"/>
      <c r="V34" s="117"/>
      <c r="Y34" s="110"/>
    </row>
    <row r="35" spans="1:26" ht="26.25" customHeight="1" x14ac:dyDescent="0.25">
      <c r="A35" s="92" t="s">
        <v>253</v>
      </c>
      <c r="B35" s="93" t="s">
        <v>254</v>
      </c>
      <c r="C35" s="107">
        <v>1995</v>
      </c>
      <c r="D35" s="107">
        <v>1996</v>
      </c>
      <c r="E35" s="107">
        <v>1997</v>
      </c>
      <c r="F35" s="107">
        <v>1998</v>
      </c>
      <c r="G35" s="107">
        <v>1999</v>
      </c>
      <c r="H35" s="107">
        <v>2000</v>
      </c>
      <c r="I35" s="107">
        <v>2001</v>
      </c>
      <c r="J35" s="107">
        <v>2002</v>
      </c>
      <c r="K35" s="107">
        <v>2003</v>
      </c>
      <c r="L35" s="107">
        <v>2004</v>
      </c>
      <c r="M35" s="107">
        <v>2005</v>
      </c>
      <c r="N35" s="107">
        <v>2006</v>
      </c>
      <c r="O35" s="107">
        <v>2007</v>
      </c>
      <c r="P35" s="107">
        <v>2008</v>
      </c>
      <c r="Q35" s="107">
        <v>2009</v>
      </c>
      <c r="R35" s="108">
        <v>2010</v>
      </c>
      <c r="S35" s="108">
        <v>2011</v>
      </c>
      <c r="T35" s="108">
        <v>2012</v>
      </c>
      <c r="U35" s="109">
        <v>2013</v>
      </c>
      <c r="V35" s="92">
        <v>2014</v>
      </c>
      <c r="W35" s="92">
        <v>2015</v>
      </c>
      <c r="X35" s="92">
        <v>2016</v>
      </c>
      <c r="Y35" s="92">
        <v>2017</v>
      </c>
      <c r="Z35" s="92">
        <v>2018</v>
      </c>
    </row>
    <row r="36" spans="1:26" x14ac:dyDescent="0.25">
      <c r="A36" s="96">
        <v>252</v>
      </c>
      <c r="B36" s="103" t="s">
        <v>255</v>
      </c>
      <c r="C36" s="110" t="s">
        <v>256</v>
      </c>
      <c r="D36" s="110" t="s">
        <v>256</v>
      </c>
      <c r="E36" s="110" t="s">
        <v>256</v>
      </c>
      <c r="F36" s="110" t="s">
        <v>256</v>
      </c>
      <c r="G36" s="110" t="s">
        <v>256</v>
      </c>
      <c r="H36" s="110" t="s">
        <v>256</v>
      </c>
      <c r="I36" s="110" t="s">
        <v>256</v>
      </c>
      <c r="J36" s="110" t="s">
        <v>256</v>
      </c>
      <c r="K36" s="110">
        <v>66366</v>
      </c>
      <c r="L36" s="110">
        <v>81335</v>
      </c>
      <c r="M36" s="110">
        <v>100171</v>
      </c>
      <c r="N36" s="110">
        <v>110822</v>
      </c>
      <c r="O36" s="110">
        <v>143974</v>
      </c>
      <c r="P36" s="110">
        <v>170307</v>
      </c>
      <c r="Q36" s="110">
        <v>176449</v>
      </c>
      <c r="R36" s="110">
        <v>191456</v>
      </c>
      <c r="S36" s="110">
        <v>203504</v>
      </c>
      <c r="T36" s="110">
        <v>215517</v>
      </c>
      <c r="U36" s="110">
        <v>229730.31200000001</v>
      </c>
      <c r="V36" s="110">
        <v>224108.111879448</v>
      </c>
      <c r="W36" s="110">
        <f>W45-W41</f>
        <v>219370.66999759999</v>
      </c>
      <c r="X36" s="110">
        <v>220546</v>
      </c>
      <c r="Y36" s="118">
        <v>224941.43900000001</v>
      </c>
      <c r="Z36" s="118">
        <v>256948.514</v>
      </c>
    </row>
    <row r="37" spans="1:26" x14ac:dyDescent="0.25">
      <c r="A37" s="96">
        <v>262</v>
      </c>
      <c r="B37" s="103" t="s">
        <v>257</v>
      </c>
      <c r="C37" s="110" t="s">
        <v>256</v>
      </c>
      <c r="D37" s="110" t="s">
        <v>256</v>
      </c>
      <c r="E37" s="110" t="s">
        <v>256</v>
      </c>
      <c r="F37" s="110" t="s">
        <v>256</v>
      </c>
      <c r="G37" s="110" t="s">
        <v>256</v>
      </c>
      <c r="H37" s="110" t="s">
        <v>256</v>
      </c>
      <c r="I37" s="110" t="s">
        <v>256</v>
      </c>
      <c r="J37" s="110" t="s">
        <v>256</v>
      </c>
      <c r="K37" s="110" t="s">
        <v>256</v>
      </c>
      <c r="L37" s="110" t="s">
        <v>256</v>
      </c>
      <c r="M37" s="110" t="s">
        <v>256</v>
      </c>
      <c r="N37" s="110" t="s">
        <v>256</v>
      </c>
      <c r="O37" s="110"/>
      <c r="P37" s="110"/>
      <c r="Q37" s="110"/>
      <c r="R37" s="110"/>
      <c r="S37" s="110"/>
      <c r="T37" s="110"/>
      <c r="U37" s="110"/>
      <c r="V37" s="110"/>
      <c r="W37" s="110"/>
      <c r="X37" s="110"/>
    </row>
    <row r="38" spans="1:26" x14ac:dyDescent="0.25">
      <c r="A38" s="96">
        <v>283</v>
      </c>
      <c r="B38" s="103" t="s">
        <v>258</v>
      </c>
      <c r="C38" s="110" t="s">
        <v>256</v>
      </c>
      <c r="D38" s="110" t="s">
        <v>256</v>
      </c>
      <c r="E38" s="110" t="s">
        <v>256</v>
      </c>
      <c r="F38" s="110" t="s">
        <v>256</v>
      </c>
      <c r="G38" s="110" t="s">
        <v>256</v>
      </c>
      <c r="H38" s="110" t="s">
        <v>256</v>
      </c>
      <c r="I38" s="110" t="s">
        <v>256</v>
      </c>
      <c r="J38" s="110" t="s">
        <v>256</v>
      </c>
      <c r="K38" s="110">
        <v>28727</v>
      </c>
      <c r="L38" s="110">
        <v>37111.506699999998</v>
      </c>
      <c r="M38" s="110">
        <v>50838.059000000001</v>
      </c>
      <c r="N38" s="110">
        <v>66919</v>
      </c>
      <c r="O38" s="110">
        <v>89127</v>
      </c>
      <c r="P38" s="110">
        <v>102455</v>
      </c>
      <c r="Q38" s="110">
        <v>102488</v>
      </c>
      <c r="R38" s="110">
        <v>117989.992</v>
      </c>
      <c r="S38" s="110">
        <v>125319</v>
      </c>
      <c r="T38" s="110">
        <v>137683.652</v>
      </c>
      <c r="U38" s="110" t="s">
        <v>259</v>
      </c>
      <c r="V38" s="110">
        <v>158424</v>
      </c>
      <c r="W38" s="110">
        <v>159375</v>
      </c>
      <c r="X38" s="110">
        <v>160826</v>
      </c>
      <c r="Y38" s="110">
        <v>165653.80499999999</v>
      </c>
      <c r="Z38" s="110">
        <v>172895.06200000001</v>
      </c>
    </row>
    <row r="39" spans="1:26" x14ac:dyDescent="0.25">
      <c r="A39" s="96">
        <v>285</v>
      </c>
      <c r="B39" s="103" t="s">
        <v>260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 t="s">
        <v>256</v>
      </c>
      <c r="N39" s="110" t="s">
        <v>256</v>
      </c>
      <c r="O39" s="110"/>
      <c r="P39" s="110"/>
      <c r="Q39" s="110"/>
      <c r="R39" s="110"/>
      <c r="S39" s="110"/>
      <c r="T39" s="110"/>
      <c r="U39" s="110"/>
      <c r="V39" s="110"/>
      <c r="W39" s="110"/>
      <c r="X39" s="110"/>
    </row>
    <row r="40" spans="1:26" ht="13.5" customHeight="1" x14ac:dyDescent="0.25">
      <c r="A40" s="96">
        <v>301</v>
      </c>
      <c r="B40" s="103" t="s">
        <v>261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 t="s">
        <v>256</v>
      </c>
      <c r="N40" s="110" t="s">
        <v>256</v>
      </c>
      <c r="O40" s="110"/>
      <c r="P40" s="110"/>
      <c r="Q40" s="110"/>
      <c r="R40" s="110"/>
      <c r="S40" s="110"/>
      <c r="T40" s="110"/>
      <c r="U40" s="110"/>
      <c r="V40" s="110"/>
      <c r="W40" s="110"/>
      <c r="X40" s="110"/>
    </row>
    <row r="41" spans="1:26" ht="13.5" customHeight="1" x14ac:dyDescent="0.25">
      <c r="A41" s="96">
        <v>268</v>
      </c>
      <c r="B41" s="119" t="s">
        <v>262</v>
      </c>
      <c r="C41" s="110"/>
      <c r="D41" s="110"/>
      <c r="E41" s="110">
        <v>1.0210598883774862</v>
      </c>
      <c r="F41" s="110">
        <v>0.99880207740498006</v>
      </c>
      <c r="G41" s="110">
        <v>10.257309457050187</v>
      </c>
      <c r="H41" s="110">
        <v>306.89153535225643</v>
      </c>
      <c r="I41" s="110">
        <v>710.0195837408246</v>
      </c>
      <c r="J41" s="110">
        <v>412.68669600251985</v>
      </c>
      <c r="K41" s="110">
        <v>1694.27</v>
      </c>
      <c r="L41" s="110">
        <v>825.73</v>
      </c>
      <c r="M41" s="110">
        <v>2096.27</v>
      </c>
      <c r="N41" s="110">
        <v>4223.88</v>
      </c>
      <c r="O41" s="110">
        <v>3128.15</v>
      </c>
      <c r="P41" s="110">
        <v>2554.12</v>
      </c>
      <c r="Q41" s="110">
        <v>4007.7</v>
      </c>
      <c r="R41" s="110">
        <v>2510</v>
      </c>
      <c r="S41" s="110">
        <v>2284</v>
      </c>
      <c r="T41" s="110">
        <v>1318.44</v>
      </c>
      <c r="U41" s="110">
        <v>2248.4</v>
      </c>
      <c r="V41" s="110">
        <v>1761.8881205519999</v>
      </c>
      <c r="W41" s="110">
        <v>1317</v>
      </c>
      <c r="X41" s="110">
        <v>1481</v>
      </c>
      <c r="Y41" s="110">
        <v>516.96199999999999</v>
      </c>
      <c r="Z41" s="110">
        <v>2760.1660000000002</v>
      </c>
    </row>
    <row r="42" spans="1:26" ht="13.5" customHeight="1" x14ac:dyDescent="0.25">
      <c r="A42" s="96">
        <v>269</v>
      </c>
      <c r="B42" s="120" t="s">
        <v>263</v>
      </c>
      <c r="C42" s="110" t="s">
        <v>256</v>
      </c>
      <c r="D42" s="110">
        <v>2.3631416665077953</v>
      </c>
      <c r="E42" s="110">
        <v>1.1000000000000001</v>
      </c>
      <c r="F42" s="110">
        <v>11.505051000000002</v>
      </c>
      <c r="G42" s="110">
        <v>198.52299600000003</v>
      </c>
      <c r="H42" s="110">
        <v>592.97815586944103</v>
      </c>
      <c r="I42" s="110">
        <v>685.99193574120807</v>
      </c>
      <c r="J42" s="110">
        <v>390</v>
      </c>
      <c r="K42" s="110">
        <v>58.614451098000004</v>
      </c>
      <c r="L42" s="110">
        <v>55.805729394799997</v>
      </c>
      <c r="M42" s="110">
        <v>36.1864991132</v>
      </c>
      <c r="N42" s="110" t="s">
        <v>256</v>
      </c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8"/>
    </row>
    <row r="43" spans="1:26" ht="25.5" x14ac:dyDescent="0.25">
      <c r="A43" s="92" t="s">
        <v>264</v>
      </c>
      <c r="B43" s="93" t="s">
        <v>265</v>
      </c>
      <c r="C43" s="107">
        <v>1995</v>
      </c>
      <c r="D43" s="107">
        <v>1996</v>
      </c>
      <c r="E43" s="107">
        <v>1997</v>
      </c>
      <c r="F43" s="107">
        <v>1998</v>
      </c>
      <c r="G43" s="107">
        <v>1999</v>
      </c>
      <c r="H43" s="107">
        <v>2000</v>
      </c>
      <c r="I43" s="107">
        <v>2001</v>
      </c>
      <c r="J43" s="107">
        <v>2002</v>
      </c>
      <c r="K43" s="107">
        <v>2003</v>
      </c>
      <c r="L43" s="107">
        <v>2004</v>
      </c>
      <c r="M43" s="107">
        <v>2005</v>
      </c>
      <c r="N43" s="107">
        <v>2006</v>
      </c>
      <c r="O43" s="107">
        <v>2007</v>
      </c>
      <c r="P43" s="107">
        <v>2008</v>
      </c>
      <c r="Q43" s="107">
        <v>2009</v>
      </c>
      <c r="R43" s="108">
        <v>2010</v>
      </c>
      <c r="S43" s="108">
        <v>2011</v>
      </c>
      <c r="T43" s="108">
        <v>2012</v>
      </c>
      <c r="U43" s="109">
        <v>2013</v>
      </c>
      <c r="V43" s="92">
        <v>2014</v>
      </c>
      <c r="W43" s="92">
        <v>2015</v>
      </c>
      <c r="X43" s="92">
        <v>2016</v>
      </c>
      <c r="Y43" s="92">
        <v>2017</v>
      </c>
      <c r="Z43" s="92">
        <v>2018</v>
      </c>
    </row>
    <row r="44" spans="1:26" ht="13.5" customHeight="1" x14ac:dyDescent="0.25">
      <c r="A44" s="96">
        <v>192</v>
      </c>
      <c r="B44" s="119" t="s">
        <v>266</v>
      </c>
      <c r="C44" s="110">
        <v>5241</v>
      </c>
      <c r="D44" s="110">
        <v>9412</v>
      </c>
      <c r="E44" s="110">
        <v>12223</v>
      </c>
      <c r="F44" s="110">
        <v>16727</v>
      </c>
      <c r="G44" s="110">
        <v>21173</v>
      </c>
      <c r="H44" s="110">
        <v>39530</v>
      </c>
      <c r="I44" s="110">
        <v>79703</v>
      </c>
      <c r="J44" s="110">
        <v>86217</v>
      </c>
      <c r="K44" s="110">
        <v>99192.024999999994</v>
      </c>
      <c r="L44" s="110">
        <v>119587.30335</v>
      </c>
      <c r="M44" s="110">
        <v>152398.54</v>
      </c>
      <c r="N44" s="110">
        <v>184796.27000000002</v>
      </c>
      <c r="O44" s="110">
        <v>235860.07</v>
      </c>
      <c r="P44" s="110">
        <v>275809.26</v>
      </c>
      <c r="Q44" s="110">
        <v>285226.37</v>
      </c>
      <c r="R44" s="121">
        <v>309445.99199999997</v>
      </c>
      <c r="S44" s="121">
        <v>331107</v>
      </c>
      <c r="T44" s="121">
        <v>354518.78576232999</v>
      </c>
      <c r="U44" s="121">
        <f>U45+U57</f>
        <v>383430.46</v>
      </c>
      <c r="V44" s="121">
        <v>384294</v>
      </c>
      <c r="W44" s="118">
        <v>380062.67000276502</v>
      </c>
      <c r="X44" s="118">
        <v>382852</v>
      </c>
      <c r="Y44" s="118">
        <v>391112.20600000001</v>
      </c>
      <c r="Z44" s="118">
        <v>432603.74200000003</v>
      </c>
    </row>
    <row r="45" spans="1:26" ht="13.5" customHeight="1" x14ac:dyDescent="0.25">
      <c r="A45" s="96">
        <v>193</v>
      </c>
      <c r="B45" s="119" t="s">
        <v>267</v>
      </c>
      <c r="C45" s="110">
        <v>4149</v>
      </c>
      <c r="D45" s="110">
        <v>7451</v>
      </c>
      <c r="E45" s="110">
        <v>9764</v>
      </c>
      <c r="F45" s="110">
        <v>13129</v>
      </c>
      <c r="G45" s="110">
        <v>16609</v>
      </c>
      <c r="H45" s="110">
        <v>31036</v>
      </c>
      <c r="I45" s="110">
        <v>61565</v>
      </c>
      <c r="J45" s="110">
        <v>62699</v>
      </c>
      <c r="K45" s="110">
        <v>70366</v>
      </c>
      <c r="L45" s="110">
        <v>82335</v>
      </c>
      <c r="M45" s="110">
        <v>100576</v>
      </c>
      <c r="N45" s="110">
        <v>116425</v>
      </c>
      <c r="O45" s="110">
        <v>144757</v>
      </c>
      <c r="P45" s="110">
        <v>170959</v>
      </c>
      <c r="Q45" s="110">
        <v>176449</v>
      </c>
      <c r="R45" s="121">
        <v>191456</v>
      </c>
      <c r="S45" s="121">
        <v>205788</v>
      </c>
      <c r="T45" s="121">
        <v>216835.13376232999</v>
      </c>
      <c r="U45" s="121">
        <f>U52+U46</f>
        <v>231978.46000000002</v>
      </c>
      <c r="V45" s="121">
        <v>225870</v>
      </c>
      <c r="W45" s="118">
        <v>220687.66999759999</v>
      </c>
      <c r="X45" s="118">
        <v>222027</v>
      </c>
      <c r="Y45" s="118">
        <v>225458.40100000001</v>
      </c>
      <c r="Z45" s="118">
        <v>259708.68</v>
      </c>
    </row>
    <row r="46" spans="1:26" ht="13.5" customHeight="1" x14ac:dyDescent="0.25">
      <c r="A46" s="96">
        <v>207</v>
      </c>
      <c r="B46" s="103" t="s">
        <v>268</v>
      </c>
      <c r="C46" s="110">
        <v>199</v>
      </c>
      <c r="D46" s="110">
        <v>357</v>
      </c>
      <c r="E46" s="110">
        <v>468</v>
      </c>
      <c r="F46" s="110">
        <v>630</v>
      </c>
      <c r="G46" s="110">
        <v>797</v>
      </c>
      <c r="H46" s="110">
        <v>1488</v>
      </c>
      <c r="I46" s="110">
        <v>2953</v>
      </c>
      <c r="J46" s="110">
        <v>4680</v>
      </c>
      <c r="K46" s="110">
        <v>5176</v>
      </c>
      <c r="L46" s="110">
        <v>6037</v>
      </c>
      <c r="M46" s="110">
        <v>6941</v>
      </c>
      <c r="N46" s="110">
        <v>7838</v>
      </c>
      <c r="O46" s="110">
        <v>9544</v>
      </c>
      <c r="P46" s="110">
        <v>12982</v>
      </c>
      <c r="Q46" s="110">
        <v>11473</v>
      </c>
      <c r="R46" s="110">
        <v>11087.903999999999</v>
      </c>
      <c r="S46" s="110">
        <v>11772</v>
      </c>
      <c r="T46" s="110">
        <v>14206.553</v>
      </c>
      <c r="U46" s="110">
        <f>U47+U50+U51</f>
        <v>14952.612999999999</v>
      </c>
      <c r="V46" s="110">
        <v>13575</v>
      </c>
      <c r="W46" s="110">
        <v>13430.766</v>
      </c>
      <c r="X46" s="110">
        <v>13635</v>
      </c>
      <c r="Y46" s="110">
        <v>13466.976000000001</v>
      </c>
      <c r="Z46" s="208">
        <v>13879.79</v>
      </c>
    </row>
    <row r="47" spans="1:26" ht="13.5" customHeight="1" x14ac:dyDescent="0.25">
      <c r="A47" s="96">
        <v>196</v>
      </c>
      <c r="B47" s="103" t="s">
        <v>269</v>
      </c>
      <c r="C47" s="110">
        <v>162</v>
      </c>
      <c r="D47" s="110">
        <v>291</v>
      </c>
      <c r="E47" s="110">
        <v>381</v>
      </c>
      <c r="F47" s="110">
        <v>513</v>
      </c>
      <c r="G47" s="110">
        <v>648</v>
      </c>
      <c r="H47" s="110">
        <v>1212</v>
      </c>
      <c r="I47" s="110">
        <v>2403</v>
      </c>
      <c r="J47" s="110">
        <v>3810</v>
      </c>
      <c r="K47" s="110">
        <v>4215</v>
      </c>
      <c r="L47" s="110">
        <v>4819</v>
      </c>
      <c r="M47" s="110">
        <v>5106</v>
      </c>
      <c r="N47" s="110">
        <v>4976</v>
      </c>
      <c r="O47" s="110">
        <v>5356</v>
      </c>
      <c r="P47" s="110">
        <v>7123</v>
      </c>
      <c r="Q47" s="110">
        <v>6372</v>
      </c>
      <c r="R47" s="110">
        <v>7253.4920000000002</v>
      </c>
      <c r="S47" s="110">
        <v>7546</v>
      </c>
      <c r="T47" s="110">
        <v>8818</v>
      </c>
      <c r="U47" s="110">
        <f>U48+U49</f>
        <v>8157.2739999999994</v>
      </c>
      <c r="V47" s="110">
        <v>9400.1139999999996</v>
      </c>
      <c r="W47" s="110">
        <f>W48+W49</f>
        <v>9421.9279999999999</v>
      </c>
      <c r="X47" s="110">
        <v>8851</v>
      </c>
      <c r="Y47" s="110">
        <v>9139.8510000000006</v>
      </c>
      <c r="Z47" s="208">
        <v>9035.8889999999992</v>
      </c>
    </row>
    <row r="48" spans="1:26" ht="13.5" customHeight="1" x14ac:dyDescent="0.25">
      <c r="A48" s="96">
        <v>197</v>
      </c>
      <c r="B48" s="120" t="s">
        <v>270</v>
      </c>
      <c r="C48" s="110">
        <v>88</v>
      </c>
      <c r="D48" s="110">
        <v>159</v>
      </c>
      <c r="E48" s="110">
        <v>208</v>
      </c>
      <c r="F48" s="110">
        <v>280</v>
      </c>
      <c r="G48" s="110">
        <v>354</v>
      </c>
      <c r="H48" s="110">
        <v>661</v>
      </c>
      <c r="I48" s="110">
        <v>1311</v>
      </c>
      <c r="J48" s="110">
        <v>2078</v>
      </c>
      <c r="K48" s="110">
        <v>2299</v>
      </c>
      <c r="L48" s="110">
        <v>2575</v>
      </c>
      <c r="M48" s="110">
        <v>2563</v>
      </c>
      <c r="N48" s="110">
        <v>3127</v>
      </c>
      <c r="O48" s="110">
        <v>2075</v>
      </c>
      <c r="P48" s="110">
        <v>2812</v>
      </c>
      <c r="Q48" s="110">
        <v>2805</v>
      </c>
      <c r="R48" s="110">
        <v>4997.7579999999998</v>
      </c>
      <c r="S48" s="110">
        <v>5278</v>
      </c>
      <c r="T48" s="110">
        <v>6396</v>
      </c>
      <c r="U48" s="110">
        <v>5679.0959999999995</v>
      </c>
      <c r="V48" s="110">
        <v>6808.1139999999996</v>
      </c>
      <c r="W48" s="110">
        <v>6435.7979999999998</v>
      </c>
      <c r="X48" s="110">
        <v>6165</v>
      </c>
      <c r="Y48" s="110">
        <v>6529.076</v>
      </c>
      <c r="Z48" s="110">
        <v>6479.3109999999997</v>
      </c>
    </row>
    <row r="49" spans="1:26" ht="13.5" customHeight="1" x14ac:dyDescent="0.25">
      <c r="A49" s="96"/>
      <c r="B49" s="120" t="s">
        <v>271</v>
      </c>
      <c r="C49" s="110">
        <v>74</v>
      </c>
      <c r="D49" s="110">
        <v>132</v>
      </c>
      <c r="E49" s="110">
        <v>173</v>
      </c>
      <c r="F49" s="110">
        <v>233</v>
      </c>
      <c r="G49" s="110">
        <v>295</v>
      </c>
      <c r="H49" s="110">
        <v>551</v>
      </c>
      <c r="I49" s="110">
        <v>1093</v>
      </c>
      <c r="J49" s="110">
        <v>1732</v>
      </c>
      <c r="K49" s="110">
        <v>1916</v>
      </c>
      <c r="L49" s="110">
        <v>2244</v>
      </c>
      <c r="M49" s="110">
        <v>2543</v>
      </c>
      <c r="N49" s="110">
        <v>1849</v>
      </c>
      <c r="O49" s="110">
        <v>3281</v>
      </c>
      <c r="P49" s="110">
        <v>4311</v>
      </c>
      <c r="Q49" s="110">
        <v>3567</v>
      </c>
      <c r="R49" s="110">
        <v>2255.7339999999999</v>
      </c>
      <c r="S49" s="110">
        <v>2286</v>
      </c>
      <c r="T49" s="110">
        <v>2421.7080000000001</v>
      </c>
      <c r="U49" s="110">
        <v>2478.1779999999999</v>
      </c>
      <c r="V49" s="110">
        <v>2592</v>
      </c>
      <c r="W49" s="110">
        <v>2986.13</v>
      </c>
      <c r="X49" s="110">
        <v>2686</v>
      </c>
      <c r="Y49" s="110">
        <v>2610.7750000000001</v>
      </c>
      <c r="Z49" s="208">
        <v>2556.578</v>
      </c>
    </row>
    <row r="50" spans="1:26" ht="13.5" customHeight="1" x14ac:dyDescent="0.25">
      <c r="A50" s="96">
        <v>205</v>
      </c>
      <c r="B50" s="120" t="s">
        <v>272</v>
      </c>
      <c r="C50" s="110">
        <v>18</v>
      </c>
      <c r="D50" s="110">
        <v>32</v>
      </c>
      <c r="E50" s="110">
        <v>42</v>
      </c>
      <c r="F50" s="110">
        <v>56</v>
      </c>
      <c r="G50" s="110">
        <v>70.957134767372608</v>
      </c>
      <c r="H50" s="110">
        <v>133</v>
      </c>
      <c r="I50" s="110">
        <v>264</v>
      </c>
      <c r="J50" s="110">
        <v>418</v>
      </c>
      <c r="K50" s="110">
        <v>463</v>
      </c>
      <c r="L50" s="110">
        <v>553</v>
      </c>
      <c r="M50" s="110">
        <v>861</v>
      </c>
      <c r="N50" s="110">
        <v>1792</v>
      </c>
      <c r="O50" s="110">
        <v>1103</v>
      </c>
      <c r="P50" s="110">
        <v>2212</v>
      </c>
      <c r="Q50" s="110">
        <v>1839</v>
      </c>
      <c r="R50" s="110">
        <v>400.52800000000002</v>
      </c>
      <c r="S50" s="110">
        <v>488</v>
      </c>
      <c r="T50" s="110">
        <v>927</v>
      </c>
      <c r="U50" s="110">
        <v>1813.3389999999999</v>
      </c>
      <c r="V50" s="110">
        <v>1692.7909999999999</v>
      </c>
      <c r="W50" s="110">
        <v>1295.229</v>
      </c>
      <c r="X50" s="110">
        <v>839</v>
      </c>
      <c r="Y50" s="118">
        <v>1128.2449999999999</v>
      </c>
      <c r="Z50" s="118">
        <v>2116.982</v>
      </c>
    </row>
    <row r="51" spans="1:26" ht="13.5" customHeight="1" x14ac:dyDescent="0.25">
      <c r="A51" s="96">
        <v>206</v>
      </c>
      <c r="B51" s="120" t="s">
        <v>273</v>
      </c>
      <c r="C51" s="110">
        <v>19</v>
      </c>
      <c r="D51" s="110">
        <v>34</v>
      </c>
      <c r="E51" s="110">
        <v>45</v>
      </c>
      <c r="F51" s="110">
        <v>61</v>
      </c>
      <c r="G51" s="110">
        <v>77</v>
      </c>
      <c r="H51" s="110">
        <v>144</v>
      </c>
      <c r="I51" s="110">
        <v>285</v>
      </c>
      <c r="J51" s="110">
        <v>452</v>
      </c>
      <c r="K51" s="110">
        <v>498</v>
      </c>
      <c r="L51" s="110">
        <v>665</v>
      </c>
      <c r="M51" s="110">
        <v>974</v>
      </c>
      <c r="N51" s="110">
        <v>1070</v>
      </c>
      <c r="O51" s="110">
        <v>3085</v>
      </c>
      <c r="P51" s="110">
        <v>3647</v>
      </c>
      <c r="Q51" s="110">
        <v>3262</v>
      </c>
      <c r="R51" s="110">
        <v>3433.1390000000001</v>
      </c>
      <c r="S51" s="110">
        <v>3738</v>
      </c>
      <c r="T51" s="110">
        <v>4461.6000000000004</v>
      </c>
      <c r="U51" s="110">
        <v>4982</v>
      </c>
      <c r="V51" s="110">
        <v>2482.201</v>
      </c>
      <c r="W51" s="110">
        <v>2713.6089999999999</v>
      </c>
      <c r="X51" s="110">
        <v>2463</v>
      </c>
      <c r="Y51" s="118">
        <v>3203.02</v>
      </c>
      <c r="Z51" s="110">
        <v>2726.9189999999999</v>
      </c>
    </row>
    <row r="52" spans="1:26" ht="13.5" customHeight="1" x14ac:dyDescent="0.25">
      <c r="A52" s="96">
        <v>201</v>
      </c>
      <c r="B52" s="119" t="s">
        <v>274</v>
      </c>
      <c r="C52" s="110">
        <v>2467</v>
      </c>
      <c r="D52" s="110">
        <v>4430</v>
      </c>
      <c r="E52" s="110">
        <v>5805</v>
      </c>
      <c r="F52" s="110">
        <v>7806</v>
      </c>
      <c r="G52" s="110">
        <v>9875</v>
      </c>
      <c r="H52" s="110">
        <v>18452</v>
      </c>
      <c r="I52" s="110">
        <v>36603</v>
      </c>
      <c r="J52" s="110">
        <v>58019</v>
      </c>
      <c r="K52" s="110">
        <v>64191</v>
      </c>
      <c r="L52" s="110">
        <v>75298</v>
      </c>
      <c r="M52" s="110">
        <v>93230</v>
      </c>
      <c r="N52" s="110">
        <v>108275</v>
      </c>
      <c r="O52" s="110">
        <v>135213</v>
      </c>
      <c r="P52" s="110">
        <v>157977</v>
      </c>
      <c r="Q52" s="110">
        <v>164976</v>
      </c>
      <c r="R52" s="110">
        <v>180367.5</v>
      </c>
      <c r="S52" s="110">
        <v>191732</v>
      </c>
      <c r="T52" s="110">
        <v>202628.58100000001</v>
      </c>
      <c r="U52" s="110">
        <v>217025.84700000001</v>
      </c>
      <c r="V52" s="110">
        <v>212295</v>
      </c>
      <c r="W52" s="110">
        <v>207256.90399759999</v>
      </c>
      <c r="X52" s="110">
        <v>208392</v>
      </c>
      <c r="Y52" s="110">
        <v>211987.285</v>
      </c>
      <c r="Z52" s="110">
        <v>243068.72399999999</v>
      </c>
    </row>
    <row r="53" spans="1:26" ht="13.5" customHeight="1" x14ac:dyDescent="0.25">
      <c r="A53" s="96">
        <v>208</v>
      </c>
      <c r="B53" s="120" t="s">
        <v>275</v>
      </c>
      <c r="C53" s="110" t="s">
        <v>256</v>
      </c>
      <c r="D53" s="110" t="s">
        <v>256</v>
      </c>
      <c r="E53" s="110" t="s">
        <v>256</v>
      </c>
      <c r="F53" s="110" t="s">
        <v>256</v>
      </c>
      <c r="G53" s="110" t="s">
        <v>256</v>
      </c>
      <c r="H53" s="110" t="s">
        <v>256</v>
      </c>
      <c r="I53" s="110" t="s">
        <v>256</v>
      </c>
      <c r="J53" s="110" t="s">
        <v>256</v>
      </c>
      <c r="K53" s="110" t="s">
        <v>256</v>
      </c>
      <c r="L53" s="110" t="s">
        <v>256</v>
      </c>
      <c r="M53" s="110" t="s">
        <v>256</v>
      </c>
      <c r="N53" s="110" t="s">
        <v>256</v>
      </c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8"/>
    </row>
    <row r="54" spans="1:26" ht="13.5" customHeight="1" x14ac:dyDescent="0.25">
      <c r="A54" s="96">
        <v>209</v>
      </c>
      <c r="B54" s="120" t="s">
        <v>276</v>
      </c>
      <c r="C54" s="110" t="s">
        <v>256</v>
      </c>
      <c r="D54" s="110" t="s">
        <v>256</v>
      </c>
      <c r="E54" s="110" t="s">
        <v>256</v>
      </c>
      <c r="F54" s="110" t="s">
        <v>256</v>
      </c>
      <c r="G54" s="110" t="s">
        <v>256</v>
      </c>
      <c r="H54" s="110" t="s">
        <v>256</v>
      </c>
      <c r="I54" s="110" t="s">
        <v>256</v>
      </c>
      <c r="J54" s="110" t="s">
        <v>256</v>
      </c>
      <c r="K54" s="110" t="s">
        <v>256</v>
      </c>
      <c r="L54" s="110" t="s">
        <v>256</v>
      </c>
      <c r="M54" s="110" t="s">
        <v>256</v>
      </c>
      <c r="N54" s="110" t="s">
        <v>256</v>
      </c>
      <c r="O54" s="110"/>
      <c r="P54" s="110"/>
      <c r="Q54" s="110"/>
      <c r="R54" s="110"/>
      <c r="S54" s="110"/>
      <c r="T54" s="110"/>
      <c r="U54" s="110"/>
      <c r="V54" s="110"/>
      <c r="W54" s="110"/>
      <c r="X54" s="110"/>
    </row>
    <row r="55" spans="1:26" ht="13.5" customHeight="1" x14ac:dyDescent="0.25">
      <c r="A55" s="96">
        <v>210</v>
      </c>
      <c r="B55" s="120" t="s">
        <v>277</v>
      </c>
      <c r="C55" s="110" t="s">
        <v>256</v>
      </c>
      <c r="D55" s="110" t="s">
        <v>256</v>
      </c>
      <c r="E55" s="110" t="s">
        <v>256</v>
      </c>
      <c r="F55" s="110" t="s">
        <v>256</v>
      </c>
      <c r="G55" s="110" t="s">
        <v>256</v>
      </c>
      <c r="H55" s="110" t="s">
        <v>256</v>
      </c>
      <c r="I55" s="110" t="s">
        <v>256</v>
      </c>
      <c r="J55" s="110" t="s">
        <v>256</v>
      </c>
      <c r="K55" s="110" t="s">
        <v>256</v>
      </c>
      <c r="L55" s="110" t="s">
        <v>256</v>
      </c>
      <c r="M55" s="110" t="s">
        <v>256</v>
      </c>
      <c r="N55" s="110" t="s">
        <v>256</v>
      </c>
      <c r="O55" s="110"/>
      <c r="P55" s="110"/>
      <c r="Q55" s="110"/>
      <c r="R55" s="110"/>
      <c r="S55" s="110"/>
      <c r="T55" s="110"/>
      <c r="U55" s="110"/>
      <c r="V55" s="110"/>
      <c r="W55" s="110"/>
      <c r="X55" s="110"/>
    </row>
    <row r="56" spans="1:26" ht="13.5" customHeight="1" x14ac:dyDescent="0.25">
      <c r="A56" s="96">
        <v>213</v>
      </c>
      <c r="B56" s="120" t="s">
        <v>278</v>
      </c>
      <c r="C56" s="110">
        <v>1483</v>
      </c>
      <c r="D56" s="110">
        <v>2664</v>
      </c>
      <c r="E56" s="110">
        <v>3491</v>
      </c>
      <c r="F56" s="110">
        <v>4694</v>
      </c>
      <c r="G56" s="110">
        <v>5938</v>
      </c>
      <c r="H56" s="110">
        <v>11095</v>
      </c>
      <c r="I56" s="110">
        <v>22009</v>
      </c>
      <c r="J56" s="110" t="s">
        <v>256</v>
      </c>
      <c r="K56" s="110">
        <v>999</v>
      </c>
      <c r="L56" s="110">
        <v>1000</v>
      </c>
      <c r="M56" s="110">
        <v>405</v>
      </c>
      <c r="N56" s="110">
        <v>312</v>
      </c>
      <c r="O56" s="110"/>
      <c r="P56" s="110"/>
      <c r="Q56" s="110"/>
      <c r="R56" s="110"/>
      <c r="S56" s="110"/>
      <c r="T56" s="110"/>
      <c r="U56" s="110"/>
      <c r="V56" s="110"/>
      <c r="W56" s="110"/>
      <c r="X56" s="110"/>
    </row>
    <row r="57" spans="1:26" ht="13.5" customHeight="1" x14ac:dyDescent="0.25">
      <c r="A57" s="96">
        <v>214</v>
      </c>
      <c r="B57" s="119" t="s">
        <v>279</v>
      </c>
      <c r="C57" s="110">
        <v>1092</v>
      </c>
      <c r="D57" s="110">
        <v>1962</v>
      </c>
      <c r="E57" s="110">
        <v>2458</v>
      </c>
      <c r="F57" s="110">
        <v>3598</v>
      </c>
      <c r="G57" s="110">
        <v>4564</v>
      </c>
      <c r="H57" s="110">
        <v>8494</v>
      </c>
      <c r="I57" s="110">
        <v>18138</v>
      </c>
      <c r="J57" s="110">
        <v>23608</v>
      </c>
      <c r="K57" s="110">
        <v>28826.024999999998</v>
      </c>
      <c r="L57" s="110">
        <v>37252.303350000002</v>
      </c>
      <c r="M57" s="110">
        <v>51822.54</v>
      </c>
      <c r="N57" s="110">
        <v>68371.27</v>
      </c>
      <c r="O57" s="110">
        <v>91103.07</v>
      </c>
      <c r="P57" s="110">
        <v>104850.26</v>
      </c>
      <c r="Q57" s="110">
        <v>108777</v>
      </c>
      <c r="R57" s="110">
        <v>117989.992</v>
      </c>
      <c r="S57" s="110">
        <f>S60+S61+S64</f>
        <v>125531.32374446416</v>
      </c>
      <c r="T57" s="110">
        <v>137683.652</v>
      </c>
      <c r="U57" s="110">
        <v>151452</v>
      </c>
      <c r="V57" s="110">
        <v>158424</v>
      </c>
      <c r="W57" s="110">
        <v>159375</v>
      </c>
      <c r="X57" s="110">
        <v>160826</v>
      </c>
      <c r="Y57" s="110">
        <v>165653.80499999999</v>
      </c>
      <c r="Z57" s="110">
        <v>172895.06200000001</v>
      </c>
    </row>
    <row r="58" spans="1:26" ht="13.5" customHeight="1" x14ac:dyDescent="0.25">
      <c r="A58" s="96">
        <v>215</v>
      </c>
      <c r="B58" s="119" t="s">
        <v>280</v>
      </c>
      <c r="C58" s="110" t="s">
        <v>256</v>
      </c>
      <c r="D58" s="110" t="s">
        <v>256</v>
      </c>
      <c r="E58" s="110" t="s">
        <v>256</v>
      </c>
      <c r="F58" s="110" t="s">
        <v>256</v>
      </c>
      <c r="G58" s="110" t="s">
        <v>256</v>
      </c>
      <c r="H58" s="110" t="s">
        <v>256</v>
      </c>
      <c r="I58" s="110" t="s">
        <v>256</v>
      </c>
      <c r="J58" s="110" t="s">
        <v>256</v>
      </c>
      <c r="K58" s="110"/>
      <c r="L58" s="110"/>
      <c r="M58" s="110">
        <v>818</v>
      </c>
      <c r="N58" s="110">
        <v>1258</v>
      </c>
      <c r="O58" s="110">
        <v>1734</v>
      </c>
      <c r="P58" s="110">
        <v>2130</v>
      </c>
      <c r="Q58" s="110">
        <v>2082</v>
      </c>
      <c r="R58" s="110">
        <v>1024</v>
      </c>
      <c r="S58" s="110">
        <v>971.76400000000001</v>
      </c>
      <c r="T58" s="110">
        <v>1083.19</v>
      </c>
      <c r="U58" s="110">
        <v>1158.1189999999999</v>
      </c>
      <c r="V58" s="110">
        <v>1325</v>
      </c>
      <c r="W58" s="110">
        <v>1585</v>
      </c>
      <c r="X58" s="110">
        <v>2229</v>
      </c>
      <c r="Y58" s="110">
        <v>2859.5540000000001</v>
      </c>
      <c r="Z58" s="110">
        <v>3465.3510000000001</v>
      </c>
    </row>
    <row r="59" spans="1:26" ht="16.5" customHeight="1" x14ac:dyDescent="0.25">
      <c r="A59" s="96">
        <v>217</v>
      </c>
      <c r="B59" s="103" t="s">
        <v>281</v>
      </c>
      <c r="C59" s="110" t="s">
        <v>256</v>
      </c>
      <c r="D59" s="110" t="s">
        <v>256</v>
      </c>
      <c r="E59" s="110" t="s">
        <v>256</v>
      </c>
      <c r="F59" s="110" t="s">
        <v>256</v>
      </c>
      <c r="G59" s="110" t="s">
        <v>256</v>
      </c>
      <c r="H59" s="110" t="s">
        <v>256</v>
      </c>
      <c r="I59" s="110" t="s">
        <v>256</v>
      </c>
      <c r="J59" s="110" t="s">
        <v>256</v>
      </c>
      <c r="K59" s="110" t="s">
        <v>256</v>
      </c>
      <c r="L59" s="110" t="s">
        <v>256</v>
      </c>
      <c r="M59" s="110" t="s">
        <v>256</v>
      </c>
      <c r="N59" s="110" t="s">
        <v>256</v>
      </c>
      <c r="O59" s="110"/>
      <c r="P59" s="110"/>
      <c r="Q59" s="110"/>
      <c r="R59" s="110"/>
      <c r="S59" s="110"/>
      <c r="T59" s="110"/>
      <c r="U59" s="110"/>
      <c r="V59" s="110"/>
      <c r="W59" s="110"/>
      <c r="X59" s="110"/>
    </row>
    <row r="60" spans="1:26" ht="13.5" customHeight="1" x14ac:dyDescent="0.25">
      <c r="A60" s="96">
        <v>216</v>
      </c>
      <c r="B60" s="103" t="s">
        <v>282</v>
      </c>
      <c r="C60" s="110" t="s">
        <v>256</v>
      </c>
      <c r="D60" s="110" t="s">
        <v>256</v>
      </c>
      <c r="E60" s="110" t="s">
        <v>256</v>
      </c>
      <c r="F60" s="110" t="s">
        <v>256</v>
      </c>
      <c r="G60" s="110" t="s">
        <v>256</v>
      </c>
      <c r="H60" s="110" t="s">
        <v>256</v>
      </c>
      <c r="I60" s="110" t="s">
        <v>256</v>
      </c>
      <c r="J60" s="110" t="s">
        <v>256</v>
      </c>
      <c r="K60" s="110" t="s">
        <v>256</v>
      </c>
      <c r="L60" s="110" t="s">
        <v>256</v>
      </c>
      <c r="M60" s="110">
        <v>818</v>
      </c>
      <c r="N60" s="110">
        <v>1258</v>
      </c>
      <c r="O60" s="110">
        <v>1734</v>
      </c>
      <c r="P60" s="110">
        <v>2130</v>
      </c>
      <c r="Q60" s="110">
        <v>2082</v>
      </c>
      <c r="R60" s="110">
        <v>1024</v>
      </c>
      <c r="S60" s="110">
        <v>971.76400000000001</v>
      </c>
      <c r="T60" s="110">
        <v>1083.19</v>
      </c>
      <c r="U60" s="110">
        <v>1158.1189999999999</v>
      </c>
      <c r="V60" s="110">
        <v>1325</v>
      </c>
      <c r="W60" s="110">
        <v>1585</v>
      </c>
      <c r="X60" s="110">
        <v>2229</v>
      </c>
      <c r="Y60" s="110">
        <v>2859.5540000000001</v>
      </c>
      <c r="Z60" s="110">
        <v>3465.3510000000001</v>
      </c>
    </row>
    <row r="61" spans="1:26" ht="15" customHeight="1" x14ac:dyDescent="0.25">
      <c r="A61" s="96">
        <v>220</v>
      </c>
      <c r="B61" s="103" t="s">
        <v>283</v>
      </c>
      <c r="C61" s="110">
        <v>166</v>
      </c>
      <c r="D61" s="110">
        <v>298</v>
      </c>
      <c r="E61" s="110">
        <v>373</v>
      </c>
      <c r="F61" s="110">
        <v>546</v>
      </c>
      <c r="G61" s="110">
        <v>693</v>
      </c>
      <c r="H61" s="110">
        <v>1298</v>
      </c>
      <c r="I61" s="110">
        <v>2753</v>
      </c>
      <c r="J61" s="110">
        <v>3568</v>
      </c>
      <c r="K61" s="110">
        <v>3934.2950000000001</v>
      </c>
      <c r="L61" s="110">
        <v>4445.75335</v>
      </c>
      <c r="M61" s="110">
        <v>5219</v>
      </c>
      <c r="N61" s="110">
        <v>6081</v>
      </c>
      <c r="O61" s="110">
        <v>6991</v>
      </c>
      <c r="P61" s="110">
        <v>5522</v>
      </c>
      <c r="Q61" s="110">
        <v>6131</v>
      </c>
      <c r="R61" s="110">
        <v>4229.9920000000002</v>
      </c>
      <c r="S61" s="110">
        <v>4709.5597444641508</v>
      </c>
      <c r="T61" s="110">
        <v>4970.1631508299997</v>
      </c>
      <c r="U61" s="110">
        <v>4970.1631508299997</v>
      </c>
      <c r="V61" s="110">
        <v>3438</v>
      </c>
      <c r="W61" s="110">
        <v>3438</v>
      </c>
      <c r="X61" s="110">
        <v>3644</v>
      </c>
      <c r="Y61" s="110">
        <v>3753.32</v>
      </c>
      <c r="Z61" s="110">
        <v>3617.58</v>
      </c>
    </row>
    <row r="62" spans="1:26" ht="13.5" customHeight="1" x14ac:dyDescent="0.25">
      <c r="A62" s="96">
        <v>223</v>
      </c>
      <c r="B62" s="103" t="s">
        <v>284</v>
      </c>
      <c r="C62" s="110" t="s">
        <v>256</v>
      </c>
      <c r="D62" s="110" t="s">
        <v>256</v>
      </c>
      <c r="E62" s="110" t="s">
        <v>256</v>
      </c>
      <c r="F62" s="110" t="s">
        <v>256</v>
      </c>
      <c r="G62" s="110" t="s">
        <v>256</v>
      </c>
      <c r="H62" s="110" t="s">
        <v>256</v>
      </c>
      <c r="I62" s="110" t="s">
        <v>256</v>
      </c>
      <c r="J62" s="110" t="s">
        <v>256</v>
      </c>
      <c r="K62" s="110">
        <v>98.73</v>
      </c>
      <c r="L62" s="110">
        <v>140.55000000000001</v>
      </c>
      <c r="M62" s="110">
        <v>166.54</v>
      </c>
      <c r="N62" s="110">
        <v>194.27</v>
      </c>
      <c r="O62" s="110">
        <v>242.07</v>
      </c>
      <c r="P62" s="110">
        <v>265.26</v>
      </c>
      <c r="Q62" s="110">
        <v>252.37</v>
      </c>
      <c r="R62" s="110"/>
      <c r="S62" s="110"/>
      <c r="T62" s="110"/>
      <c r="U62" s="110"/>
      <c r="V62" s="110"/>
      <c r="W62" s="110"/>
      <c r="X62" s="110"/>
    </row>
    <row r="63" spans="1:26" ht="13.5" customHeight="1" x14ac:dyDescent="0.25">
      <c r="A63" s="96">
        <v>226</v>
      </c>
      <c r="B63" s="103" t="s">
        <v>285</v>
      </c>
      <c r="C63" s="110" t="s">
        <v>256</v>
      </c>
      <c r="D63" s="110" t="s">
        <v>256</v>
      </c>
      <c r="E63" s="110" t="s">
        <v>256</v>
      </c>
      <c r="F63" s="110" t="s">
        <v>256</v>
      </c>
      <c r="G63" s="110" t="s">
        <v>256</v>
      </c>
      <c r="H63" s="110" t="s">
        <v>256</v>
      </c>
      <c r="I63" s="110" t="s">
        <v>256</v>
      </c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</row>
    <row r="64" spans="1:26" ht="13.5" customHeight="1" x14ac:dyDescent="0.25">
      <c r="A64" s="96">
        <v>227</v>
      </c>
      <c r="B64" s="119" t="s">
        <v>286</v>
      </c>
      <c r="C64" s="110">
        <v>926</v>
      </c>
      <c r="D64" s="110">
        <v>1664</v>
      </c>
      <c r="E64" s="110">
        <v>2085</v>
      </c>
      <c r="F64" s="110">
        <v>3052</v>
      </c>
      <c r="G64" s="110">
        <v>3871</v>
      </c>
      <c r="H64" s="110">
        <v>7196</v>
      </c>
      <c r="I64" s="110">
        <v>15385</v>
      </c>
      <c r="J64" s="110">
        <v>19950</v>
      </c>
      <c r="K64" s="110">
        <v>24793</v>
      </c>
      <c r="L64" s="110">
        <v>32666</v>
      </c>
      <c r="M64" s="110">
        <v>45619</v>
      </c>
      <c r="N64" s="110">
        <v>60838</v>
      </c>
      <c r="O64" s="110">
        <v>82136</v>
      </c>
      <c r="P64" s="110">
        <v>96933</v>
      </c>
      <c r="Q64" s="110">
        <v>100312</v>
      </c>
      <c r="R64" s="110">
        <v>112736</v>
      </c>
      <c r="S64" s="110">
        <v>119850</v>
      </c>
      <c r="T64" s="110">
        <v>131630.462</v>
      </c>
      <c r="U64" s="110">
        <f>U57-U60-U61</f>
        <v>145323.71784917</v>
      </c>
      <c r="V64" s="110">
        <v>153661</v>
      </c>
      <c r="W64" s="110">
        <v>154352</v>
      </c>
      <c r="X64" s="110">
        <v>154952</v>
      </c>
      <c r="Y64" s="110">
        <v>159040.93100000001</v>
      </c>
      <c r="Z64" s="110">
        <v>165812.13099999999</v>
      </c>
    </row>
    <row r="65" spans="1:27" ht="13.5" customHeight="1" x14ac:dyDescent="0.25">
      <c r="A65" s="96">
        <v>228</v>
      </c>
      <c r="B65" s="103" t="s">
        <v>287</v>
      </c>
      <c r="C65" s="110" t="s">
        <v>256</v>
      </c>
      <c r="D65" s="110" t="s">
        <v>256</v>
      </c>
      <c r="E65" s="110" t="s">
        <v>256</v>
      </c>
      <c r="F65" s="110" t="s">
        <v>256</v>
      </c>
      <c r="G65" s="110"/>
      <c r="H65" s="110" t="s">
        <v>256</v>
      </c>
      <c r="I65" s="110" t="s">
        <v>256</v>
      </c>
      <c r="J65" s="110" t="s">
        <v>256</v>
      </c>
      <c r="K65" s="110" t="s">
        <v>256</v>
      </c>
      <c r="L65" s="110">
        <v>1872.344083</v>
      </c>
      <c r="M65" s="110">
        <v>1934</v>
      </c>
      <c r="N65" s="110">
        <v>2999</v>
      </c>
      <c r="O65" s="110">
        <v>4563</v>
      </c>
      <c r="P65" s="110">
        <v>5171</v>
      </c>
      <c r="Q65" s="110">
        <v>4555.8680000000004</v>
      </c>
      <c r="R65" s="110">
        <v>4776.7979999999998</v>
      </c>
      <c r="S65" s="110">
        <v>6532.6439929999997</v>
      </c>
      <c r="T65" s="110">
        <v>5707.857</v>
      </c>
      <c r="U65" s="110" t="s">
        <v>288</v>
      </c>
      <c r="V65" s="110">
        <v>5776</v>
      </c>
      <c r="W65" s="110">
        <v>4659.8379999999997</v>
      </c>
      <c r="X65" s="110">
        <v>4295</v>
      </c>
      <c r="Y65" s="110">
        <v>4749.9480000000003</v>
      </c>
      <c r="Z65" s="110">
        <v>3333.174</v>
      </c>
    </row>
    <row r="66" spans="1:27" ht="13.5" customHeight="1" x14ac:dyDescent="0.25">
      <c r="A66" s="96">
        <v>229</v>
      </c>
      <c r="B66" s="103" t="s">
        <v>289</v>
      </c>
      <c r="C66" s="110" t="s">
        <v>256</v>
      </c>
      <c r="D66" s="110" t="s">
        <v>256</v>
      </c>
      <c r="E66" s="110" t="s">
        <v>256</v>
      </c>
      <c r="F66" s="110" t="s">
        <v>256</v>
      </c>
      <c r="G66" s="110" t="s">
        <v>256</v>
      </c>
      <c r="H66" s="110" t="s">
        <v>256</v>
      </c>
      <c r="I66" s="110" t="s">
        <v>256</v>
      </c>
      <c r="J66" s="110" t="s">
        <v>256</v>
      </c>
      <c r="K66" s="110" t="s">
        <v>256</v>
      </c>
      <c r="L66" s="110"/>
      <c r="M66" s="110" t="s">
        <v>256</v>
      </c>
      <c r="N66" s="110" t="s">
        <v>256</v>
      </c>
      <c r="O66" s="110"/>
      <c r="P66" s="110"/>
      <c r="Q66" s="110"/>
      <c r="R66" s="110"/>
      <c r="S66" s="110"/>
      <c r="T66" s="110"/>
      <c r="U66" s="110"/>
      <c r="V66" s="110"/>
      <c r="W66" s="110"/>
      <c r="X66" s="110"/>
    </row>
    <row r="67" spans="1:27" x14ac:dyDescent="0.25">
      <c r="A67" s="122"/>
      <c r="B67" s="123"/>
      <c r="C67" s="124"/>
      <c r="D67" s="124"/>
      <c r="E67" s="124"/>
      <c r="F67" s="124"/>
      <c r="G67" s="124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6"/>
      <c r="S67" s="126"/>
      <c r="T67" s="126"/>
      <c r="U67" s="127"/>
      <c r="V67" s="128"/>
    </row>
    <row r="68" spans="1:27" ht="27.75" customHeight="1" x14ac:dyDescent="0.25">
      <c r="A68" s="92" t="s">
        <v>290</v>
      </c>
      <c r="B68" s="93" t="s">
        <v>291</v>
      </c>
      <c r="C68" s="107">
        <v>1995</v>
      </c>
      <c r="D68" s="107">
        <v>1996</v>
      </c>
      <c r="E68" s="107">
        <v>1997</v>
      </c>
      <c r="F68" s="107">
        <v>1998</v>
      </c>
      <c r="G68" s="107">
        <v>1999</v>
      </c>
      <c r="H68" s="107">
        <v>2000</v>
      </c>
      <c r="I68" s="107">
        <v>2001</v>
      </c>
      <c r="J68" s="107">
        <v>2002</v>
      </c>
      <c r="K68" s="107">
        <v>2003</v>
      </c>
      <c r="L68" s="107">
        <v>2004</v>
      </c>
      <c r="M68" s="107">
        <v>2005</v>
      </c>
      <c r="N68" s="107">
        <v>2006</v>
      </c>
      <c r="O68" s="107">
        <v>2007</v>
      </c>
      <c r="P68" s="107">
        <v>2008</v>
      </c>
      <c r="Q68" s="107">
        <v>2009</v>
      </c>
      <c r="R68" s="108">
        <v>2010</v>
      </c>
      <c r="S68" s="108">
        <v>2011</v>
      </c>
      <c r="T68" s="108">
        <v>2012</v>
      </c>
      <c r="U68" s="109">
        <v>2013</v>
      </c>
      <c r="V68" s="92">
        <v>2014</v>
      </c>
      <c r="W68" s="92">
        <v>2015</v>
      </c>
      <c r="X68" s="92">
        <v>2016</v>
      </c>
      <c r="Y68" s="92">
        <v>2017</v>
      </c>
      <c r="Z68" s="92">
        <v>2018</v>
      </c>
    </row>
    <row r="69" spans="1:27" ht="13.5" customHeight="1" x14ac:dyDescent="0.25">
      <c r="A69" s="96"/>
      <c r="B69" s="129" t="s">
        <v>292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21"/>
      <c r="S69" s="121"/>
      <c r="T69" s="121"/>
      <c r="U69" s="127"/>
      <c r="V69" s="128"/>
    </row>
    <row r="70" spans="1:27" ht="13.5" customHeight="1" x14ac:dyDescent="0.25">
      <c r="A70" s="96">
        <v>353</v>
      </c>
      <c r="B70" s="130" t="s">
        <v>293</v>
      </c>
      <c r="C70" s="110" t="s">
        <v>256</v>
      </c>
      <c r="D70" s="110" t="s">
        <v>256</v>
      </c>
      <c r="E70" s="110" t="s">
        <v>256</v>
      </c>
      <c r="F70" s="110" t="s">
        <v>256</v>
      </c>
      <c r="G70" s="110" t="s">
        <v>256</v>
      </c>
      <c r="H70" s="110" t="s">
        <v>256</v>
      </c>
      <c r="I70" s="110" t="s">
        <v>256</v>
      </c>
      <c r="J70" s="110" t="s">
        <v>256</v>
      </c>
      <c r="K70" s="110">
        <v>52283</v>
      </c>
      <c r="L70" s="110">
        <v>58305</v>
      </c>
      <c r="M70" s="110">
        <v>70699</v>
      </c>
      <c r="N70" s="110">
        <v>80947</v>
      </c>
      <c r="O70" s="110">
        <v>100929</v>
      </c>
      <c r="P70" s="110">
        <v>121256.427</v>
      </c>
      <c r="Q70" s="110">
        <v>122370.524</v>
      </c>
      <c r="R70" s="110">
        <v>124694</v>
      </c>
      <c r="S70" s="110">
        <v>127157</v>
      </c>
      <c r="T70" s="110">
        <v>144202.473</v>
      </c>
      <c r="U70" s="110">
        <v>146746.101446291</v>
      </c>
      <c r="V70" s="110">
        <v>145923.231825</v>
      </c>
      <c r="W70" s="110">
        <v>141344.994735727</v>
      </c>
      <c r="X70" s="110">
        <v>141102.01956672699</v>
      </c>
      <c r="Y70" s="110">
        <v>145753.34155672701</v>
      </c>
      <c r="Z70" s="110">
        <v>166265.99976086701</v>
      </c>
    </row>
    <row r="71" spans="1:27" ht="13.5" customHeight="1" x14ac:dyDescent="0.25">
      <c r="A71" s="96">
        <v>354</v>
      </c>
      <c r="B71" s="130" t="s">
        <v>294</v>
      </c>
      <c r="C71" s="110" t="s">
        <v>256</v>
      </c>
      <c r="D71" s="110" t="s">
        <v>256</v>
      </c>
      <c r="E71" s="110" t="s">
        <v>256</v>
      </c>
      <c r="F71" s="110" t="s">
        <v>256</v>
      </c>
      <c r="G71" s="110" t="s">
        <v>256</v>
      </c>
      <c r="H71" s="110" t="s">
        <v>256</v>
      </c>
      <c r="I71" s="110" t="s">
        <v>256</v>
      </c>
      <c r="J71" s="110" t="s">
        <v>256</v>
      </c>
      <c r="K71" s="110">
        <v>46830</v>
      </c>
      <c r="L71" s="110">
        <v>52928</v>
      </c>
      <c r="M71" s="110">
        <v>63656</v>
      </c>
      <c r="N71" s="110">
        <v>71402</v>
      </c>
      <c r="O71" s="110">
        <v>93010.6</v>
      </c>
      <c r="P71" s="110">
        <v>111359.338</v>
      </c>
      <c r="Q71" s="110">
        <v>112470.183</v>
      </c>
      <c r="R71" s="110">
        <v>113757</v>
      </c>
      <c r="S71" s="110">
        <v>117700</v>
      </c>
      <c r="T71" s="110">
        <v>130526.33500000001</v>
      </c>
      <c r="U71" s="110">
        <v>129192.223</v>
      </c>
      <c r="V71" s="110">
        <v>128735.711</v>
      </c>
      <c r="W71" s="110">
        <v>130281.62216899999</v>
      </c>
      <c r="X71" s="110">
        <v>133333.24299999999</v>
      </c>
      <c r="Y71" s="110">
        <v>138264.84700000001</v>
      </c>
      <c r="Z71" s="110">
        <v>153014.14199999999</v>
      </c>
    </row>
    <row r="72" spans="1:27" ht="13.5" customHeight="1" x14ac:dyDescent="0.25">
      <c r="A72" s="96">
        <v>372</v>
      </c>
      <c r="B72" s="130" t="s">
        <v>295</v>
      </c>
      <c r="C72" s="110" t="s">
        <v>256</v>
      </c>
      <c r="D72" s="110" t="s">
        <v>256</v>
      </c>
      <c r="E72" s="110" t="s">
        <v>256</v>
      </c>
      <c r="F72" s="110" t="s">
        <v>256</v>
      </c>
      <c r="G72" s="110" t="s">
        <v>256</v>
      </c>
      <c r="H72" s="110" t="s">
        <v>256</v>
      </c>
      <c r="I72" s="110" t="s">
        <v>256</v>
      </c>
      <c r="J72" s="110" t="s">
        <v>256</v>
      </c>
      <c r="K72" s="110">
        <v>16272</v>
      </c>
      <c r="L72" s="110">
        <v>24750</v>
      </c>
      <c r="M72" s="110">
        <v>28712</v>
      </c>
      <c r="N72" s="110">
        <v>36106</v>
      </c>
      <c r="O72" s="110">
        <v>45393.934000000001</v>
      </c>
      <c r="P72" s="110">
        <v>60119.521000000001</v>
      </c>
      <c r="Q72" s="110">
        <v>61313.457000000002</v>
      </c>
      <c r="R72" s="110" t="s">
        <v>296</v>
      </c>
      <c r="S72" s="110">
        <v>68715</v>
      </c>
      <c r="T72" s="110">
        <v>73879.994000000006</v>
      </c>
      <c r="U72" s="110">
        <v>74271.5680200856</v>
      </c>
      <c r="V72" s="110">
        <v>78811.607174999997</v>
      </c>
      <c r="W72" s="110">
        <v>76673.476178859404</v>
      </c>
      <c r="X72" s="110">
        <v>77006.324021194203</v>
      </c>
      <c r="Y72" s="110">
        <v>76633.619021194099</v>
      </c>
      <c r="Z72" s="110">
        <v>86202.989021194095</v>
      </c>
    </row>
    <row r="73" spans="1:27" ht="18.75" customHeight="1" x14ac:dyDescent="0.25">
      <c r="A73" s="96">
        <v>373</v>
      </c>
      <c r="B73" s="131" t="s">
        <v>297</v>
      </c>
      <c r="C73" s="110" t="s">
        <v>256</v>
      </c>
      <c r="D73" s="110" t="s">
        <v>256</v>
      </c>
      <c r="E73" s="110" t="s">
        <v>256</v>
      </c>
      <c r="F73" s="110" t="s">
        <v>256</v>
      </c>
      <c r="G73" s="110" t="s">
        <v>256</v>
      </c>
      <c r="H73" s="110" t="s">
        <v>256</v>
      </c>
      <c r="I73" s="110" t="s">
        <v>256</v>
      </c>
      <c r="J73" s="110" t="s">
        <v>256</v>
      </c>
      <c r="K73" s="110">
        <v>8368</v>
      </c>
      <c r="L73" s="110">
        <v>14613</v>
      </c>
      <c r="M73" s="110">
        <v>17196</v>
      </c>
      <c r="N73" s="110">
        <v>21153</v>
      </c>
      <c r="O73" s="110">
        <v>24959.203000000001</v>
      </c>
      <c r="P73" s="110">
        <v>34772.154000000002</v>
      </c>
      <c r="Q73" s="110">
        <v>35957.925999999999</v>
      </c>
      <c r="R73" s="110" t="s">
        <v>298</v>
      </c>
      <c r="S73" s="110">
        <v>39818</v>
      </c>
      <c r="T73" s="110">
        <v>47717.478999999999</v>
      </c>
      <c r="U73" s="110">
        <v>50442.726000000002</v>
      </c>
      <c r="V73" s="110">
        <v>46592.195</v>
      </c>
      <c r="W73" s="110">
        <v>47661.270499999999</v>
      </c>
      <c r="X73" s="110">
        <v>47213.71</v>
      </c>
      <c r="Y73" s="110">
        <v>50707.044000000002</v>
      </c>
      <c r="Z73" s="110">
        <v>53691.514000000003</v>
      </c>
    </row>
    <row r="74" spans="1:27" s="106" customFormat="1" ht="13.5" customHeight="1" x14ac:dyDescent="0.25">
      <c r="A74" s="96">
        <v>401</v>
      </c>
      <c r="B74" s="132" t="s">
        <v>299</v>
      </c>
      <c r="C74" s="110" t="s">
        <v>256</v>
      </c>
      <c r="D74" s="110" t="s">
        <v>256</v>
      </c>
      <c r="E74" s="110" t="s">
        <v>256</v>
      </c>
      <c r="F74" s="110" t="s">
        <v>256</v>
      </c>
      <c r="G74" s="110" t="s">
        <v>256</v>
      </c>
      <c r="H74" s="110" t="s">
        <v>256</v>
      </c>
      <c r="I74" s="110" t="s">
        <v>256</v>
      </c>
      <c r="J74" s="110" t="s">
        <v>256</v>
      </c>
      <c r="K74" s="110">
        <v>19566</v>
      </c>
      <c r="L74" s="110">
        <v>24191</v>
      </c>
      <c r="M74" s="110">
        <v>32144</v>
      </c>
      <c r="N74" s="110">
        <v>42389</v>
      </c>
      <c r="O74" s="110">
        <v>54691</v>
      </c>
      <c r="P74" s="110">
        <v>65972.228168999995</v>
      </c>
      <c r="Q74" s="110">
        <v>71201</v>
      </c>
      <c r="R74" s="110" t="s">
        <v>300</v>
      </c>
      <c r="S74" s="110">
        <v>74003.411596999998</v>
      </c>
      <c r="T74" s="110">
        <v>83738.924211000005</v>
      </c>
      <c r="U74" s="110">
        <v>90805.729000000007</v>
      </c>
      <c r="V74" s="110">
        <v>94044.569801580001</v>
      </c>
      <c r="W74" s="110">
        <v>102252.33045897</v>
      </c>
      <c r="X74" s="110">
        <v>109119.6142003</v>
      </c>
      <c r="Y74" s="110">
        <v>114965.73686800001</v>
      </c>
      <c r="Z74" s="110">
        <v>126276.77613362001</v>
      </c>
    </row>
    <row r="75" spans="1:27" s="106" customFormat="1" ht="13.5" customHeight="1" x14ac:dyDescent="0.25">
      <c r="A75" s="96">
        <v>402</v>
      </c>
      <c r="B75" s="132" t="s">
        <v>301</v>
      </c>
      <c r="C75" s="110">
        <v>570</v>
      </c>
      <c r="D75" s="110">
        <v>1100</v>
      </c>
      <c r="E75" s="110">
        <v>1380</v>
      </c>
      <c r="F75" s="110">
        <v>1390</v>
      </c>
      <c r="G75" s="110">
        <v>1770</v>
      </c>
      <c r="H75" s="110">
        <v>3220</v>
      </c>
      <c r="I75" s="110">
        <v>6300</v>
      </c>
      <c r="J75" s="110" t="s">
        <v>256</v>
      </c>
      <c r="K75" s="110">
        <v>18756</v>
      </c>
      <c r="L75" s="110">
        <v>23318</v>
      </c>
      <c r="M75" s="110">
        <v>31137</v>
      </c>
      <c r="N75" s="110">
        <v>41256</v>
      </c>
      <c r="O75" s="110">
        <v>53389</v>
      </c>
      <c r="P75" s="110">
        <v>64214.286168999992</v>
      </c>
      <c r="Q75" s="110">
        <v>69386.095000000001</v>
      </c>
      <c r="R75" s="110">
        <v>73139</v>
      </c>
      <c r="S75" s="110">
        <v>71012.805596999999</v>
      </c>
      <c r="T75" s="110">
        <v>80539</v>
      </c>
      <c r="U75" s="110">
        <v>88050.96</v>
      </c>
      <c r="V75" s="110">
        <v>91194.798801580007</v>
      </c>
      <c r="W75" s="110">
        <v>99012.330458969998</v>
      </c>
      <c r="X75" s="110">
        <v>108124.19271745</v>
      </c>
      <c r="Y75" s="110">
        <v>111289.701868</v>
      </c>
      <c r="Z75" s="110">
        <v>121526.17313362</v>
      </c>
      <c r="AA75" s="110"/>
    </row>
    <row r="76" spans="1:27" ht="13.5" customHeight="1" x14ac:dyDescent="0.25">
      <c r="A76" s="96"/>
      <c r="B76" s="129" t="s">
        <v>302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</row>
    <row r="77" spans="1:27" s="106" customFormat="1" ht="13.5" customHeight="1" x14ac:dyDescent="0.25">
      <c r="A77" s="96">
        <v>454</v>
      </c>
      <c r="B77" s="133" t="s">
        <v>303</v>
      </c>
      <c r="C77" s="110" t="s">
        <v>256</v>
      </c>
      <c r="D77" s="110" t="s">
        <v>256</v>
      </c>
      <c r="E77" s="110" t="s">
        <v>256</v>
      </c>
      <c r="F77" s="110" t="s">
        <v>256</v>
      </c>
      <c r="G77" s="110" t="s">
        <v>256</v>
      </c>
      <c r="H77" s="110" t="s">
        <v>256</v>
      </c>
      <c r="I77" s="110" t="s">
        <v>256</v>
      </c>
      <c r="J77" s="110" t="s">
        <v>256</v>
      </c>
      <c r="K77" s="110">
        <v>44484</v>
      </c>
      <c r="L77" s="110">
        <v>47740</v>
      </c>
      <c r="M77" s="110">
        <v>57524</v>
      </c>
      <c r="N77" s="110" t="s">
        <v>304</v>
      </c>
      <c r="O77" s="110">
        <v>80379.199999999997</v>
      </c>
      <c r="P77" s="110">
        <v>94165.442500000005</v>
      </c>
      <c r="Q77" s="110">
        <v>94802.892999999996</v>
      </c>
      <c r="R77" s="110">
        <v>102314</v>
      </c>
      <c r="S77" s="110">
        <v>103627</v>
      </c>
      <c r="T77" s="110">
        <v>112674.54296999999</v>
      </c>
      <c r="U77" s="110">
        <v>112231.69637257</v>
      </c>
      <c r="V77" s="110">
        <v>113642.01679975</v>
      </c>
      <c r="W77" s="110">
        <v>107658.246622962</v>
      </c>
      <c r="X77" s="110">
        <v>108282.729231836</v>
      </c>
      <c r="Y77" s="110">
        <v>113991.60245909001</v>
      </c>
      <c r="Z77" s="110">
        <v>127348.95</v>
      </c>
    </row>
    <row r="78" spans="1:27" s="106" customFormat="1" ht="13.5" customHeight="1" x14ac:dyDescent="0.25">
      <c r="A78" s="96">
        <v>455</v>
      </c>
      <c r="B78" s="133" t="s">
        <v>305</v>
      </c>
      <c r="C78" s="110" t="s">
        <v>256</v>
      </c>
      <c r="D78" s="110" t="s">
        <v>256</v>
      </c>
      <c r="E78" s="110" t="s">
        <v>256</v>
      </c>
      <c r="F78" s="110" t="s">
        <v>256</v>
      </c>
      <c r="G78" s="110" t="s">
        <v>256</v>
      </c>
      <c r="H78" s="110" t="s">
        <v>256</v>
      </c>
      <c r="I78" s="110" t="s">
        <v>256</v>
      </c>
      <c r="J78" s="110" t="s">
        <v>256</v>
      </c>
      <c r="K78" s="110">
        <v>37233</v>
      </c>
      <c r="L78" s="110">
        <v>40436</v>
      </c>
      <c r="M78" s="110">
        <v>48550</v>
      </c>
      <c r="N78" s="110">
        <v>62549</v>
      </c>
      <c r="O78" s="110">
        <v>74029</v>
      </c>
      <c r="P78" s="110">
        <v>85654.442500000005</v>
      </c>
      <c r="Q78" s="110">
        <v>86642.035000000003</v>
      </c>
      <c r="R78" s="110">
        <v>96124</v>
      </c>
      <c r="S78" s="110">
        <v>97016</v>
      </c>
      <c r="T78" s="110">
        <v>102173.22053999999</v>
      </c>
      <c r="U78" s="110">
        <v>106146.68888</v>
      </c>
      <c r="V78" s="110">
        <v>106398.81251</v>
      </c>
      <c r="W78" s="110">
        <v>99119.443655199997</v>
      </c>
      <c r="X78" s="110">
        <v>103465.82564</v>
      </c>
      <c r="Y78" s="110">
        <v>108827.76237</v>
      </c>
      <c r="Z78" s="110">
        <v>122254.60451</v>
      </c>
    </row>
    <row r="79" spans="1:27" ht="13.5" customHeight="1" x14ac:dyDescent="0.25">
      <c r="A79" s="96">
        <v>466</v>
      </c>
      <c r="B79" s="134" t="s">
        <v>306</v>
      </c>
      <c r="C79" s="110" t="s">
        <v>256</v>
      </c>
      <c r="D79" s="110" t="s">
        <v>256</v>
      </c>
      <c r="E79" s="110" t="s">
        <v>256</v>
      </c>
      <c r="F79" s="110" t="s">
        <v>256</v>
      </c>
      <c r="G79" s="110" t="s">
        <v>256</v>
      </c>
      <c r="H79" s="110" t="s">
        <v>256</v>
      </c>
      <c r="I79" s="110" t="s">
        <v>256</v>
      </c>
      <c r="J79" s="110" t="s">
        <v>256</v>
      </c>
      <c r="K79" s="110">
        <v>11532.028720967301</v>
      </c>
      <c r="L79" s="110">
        <v>16822.323697690899</v>
      </c>
      <c r="M79" s="110">
        <v>22248.134726461001</v>
      </c>
      <c r="N79" s="110">
        <v>27993.415799999999</v>
      </c>
      <c r="O79" s="110">
        <v>31408.637999999999</v>
      </c>
      <c r="P79" s="110">
        <v>37474.826800000003</v>
      </c>
      <c r="Q79" s="110">
        <v>37071.375</v>
      </c>
      <c r="R79" s="110">
        <v>46334</v>
      </c>
      <c r="S79" s="110">
        <v>51293</v>
      </c>
      <c r="T79" s="110">
        <v>56103.995199999998</v>
      </c>
      <c r="U79" s="110">
        <v>57486.272016068498</v>
      </c>
      <c r="V79" s="110">
        <v>57267.862128000001</v>
      </c>
      <c r="W79" s="110">
        <v>55208.9959422662</v>
      </c>
      <c r="X79" s="110">
        <v>55536.475839468301</v>
      </c>
      <c r="Y79" s="110">
        <v>53856.495296044901</v>
      </c>
      <c r="Z79" s="110">
        <v>59038.860016044899</v>
      </c>
    </row>
    <row r="80" spans="1:27" s="106" customFormat="1" ht="13.5" customHeight="1" x14ac:dyDescent="0.25">
      <c r="A80" s="96">
        <v>559</v>
      </c>
      <c r="B80" s="133" t="s">
        <v>307</v>
      </c>
      <c r="C80" s="110" t="s">
        <v>256</v>
      </c>
      <c r="D80" s="110" t="s">
        <v>256</v>
      </c>
      <c r="E80" s="110" t="s">
        <v>256</v>
      </c>
      <c r="F80" s="110" t="s">
        <v>256</v>
      </c>
      <c r="G80" s="110" t="s">
        <v>256</v>
      </c>
      <c r="H80" s="110" t="s">
        <v>256</v>
      </c>
      <c r="I80" s="110" t="s">
        <v>256</v>
      </c>
      <c r="J80" s="110" t="s">
        <v>256</v>
      </c>
      <c r="K80" s="110">
        <v>31616</v>
      </c>
      <c r="L80" s="110">
        <v>34573</v>
      </c>
      <c r="M80" s="110">
        <v>40144</v>
      </c>
      <c r="N80" s="110">
        <v>46422</v>
      </c>
      <c r="O80" s="110">
        <v>60293</v>
      </c>
      <c r="P80" s="110">
        <v>64692.017999999996</v>
      </c>
      <c r="Q80" s="110">
        <v>68800.081999999995</v>
      </c>
      <c r="R80" s="110">
        <v>70499</v>
      </c>
      <c r="S80" s="110">
        <v>71012.805596999999</v>
      </c>
      <c r="T80" s="110">
        <v>76404</v>
      </c>
      <c r="U80" s="110">
        <v>83545.218383540006</v>
      </c>
      <c r="V80" s="110">
        <v>85934.837495810003</v>
      </c>
      <c r="W80" s="110">
        <v>90970</v>
      </c>
      <c r="X80" s="110">
        <v>95225.936057929997</v>
      </c>
      <c r="Y80" s="135">
        <v>100480.461868</v>
      </c>
    </row>
    <row r="81" spans="1:26" ht="13.5" customHeight="1" x14ac:dyDescent="0.25">
      <c r="A81" s="96">
        <v>586</v>
      </c>
      <c r="B81" s="134" t="s">
        <v>308</v>
      </c>
      <c r="C81" s="110" t="s">
        <v>256</v>
      </c>
      <c r="D81" s="110" t="s">
        <v>256</v>
      </c>
      <c r="E81" s="110" t="s">
        <v>256</v>
      </c>
      <c r="F81" s="110" t="s">
        <v>256</v>
      </c>
      <c r="G81" s="110" t="s">
        <v>256</v>
      </c>
      <c r="H81" s="110" t="s">
        <v>256</v>
      </c>
      <c r="I81" s="110" t="s">
        <v>256</v>
      </c>
      <c r="J81" s="110" t="s">
        <v>256</v>
      </c>
      <c r="K81" s="110">
        <v>8628</v>
      </c>
      <c r="L81" s="110">
        <v>9593</v>
      </c>
      <c r="M81" s="110">
        <v>11328</v>
      </c>
      <c r="N81" s="110">
        <v>13539</v>
      </c>
      <c r="O81" s="110">
        <v>16620.968980000001</v>
      </c>
      <c r="P81" s="110">
        <v>18432.398000000001</v>
      </c>
      <c r="Q81" s="110">
        <v>21373.115000000002</v>
      </c>
      <c r="R81" s="110">
        <v>19596.205160000001</v>
      </c>
      <c r="S81" s="110">
        <v>20944</v>
      </c>
      <c r="T81" s="110">
        <v>23236.99548233</v>
      </c>
      <c r="U81" s="110">
        <v>24631.448460399799</v>
      </c>
      <c r="V81" s="110">
        <v>24174.029131683299</v>
      </c>
      <c r="W81" s="110">
        <v>24431.0723828351</v>
      </c>
      <c r="X81" s="110">
        <v>26632.5792123744</v>
      </c>
      <c r="Y81" s="110">
        <v>30505.8804637744</v>
      </c>
      <c r="Z81" s="110">
        <v>30598.391562815301</v>
      </c>
    </row>
    <row r="82" spans="1:26" ht="13.5" customHeight="1" x14ac:dyDescent="0.25">
      <c r="A82" s="96">
        <v>683</v>
      </c>
      <c r="B82" s="134" t="s">
        <v>309</v>
      </c>
      <c r="C82" s="110" t="s">
        <v>256</v>
      </c>
      <c r="D82" s="110" t="s">
        <v>256</v>
      </c>
      <c r="E82" s="110" t="s">
        <v>256</v>
      </c>
      <c r="F82" s="110" t="s">
        <v>256</v>
      </c>
      <c r="G82" s="110" t="s">
        <v>256</v>
      </c>
      <c r="H82" s="110" t="s">
        <v>256</v>
      </c>
      <c r="I82" s="110" t="s">
        <v>256</v>
      </c>
      <c r="J82" s="110" t="s">
        <v>256</v>
      </c>
      <c r="K82" s="110">
        <v>3831</v>
      </c>
      <c r="L82" s="110">
        <v>2330</v>
      </c>
      <c r="M82" s="110">
        <v>2275</v>
      </c>
      <c r="N82" s="110">
        <v>2713</v>
      </c>
      <c r="O82" s="110">
        <v>3776.8050989077201</v>
      </c>
      <c r="P82" s="110">
        <v>3971.0369999999998</v>
      </c>
      <c r="Q82" s="110">
        <v>4159.74</v>
      </c>
      <c r="R82" s="110">
        <v>4953.6450000000004</v>
      </c>
      <c r="S82" s="110">
        <v>5333</v>
      </c>
      <c r="T82" s="110">
        <v>4749.8961799999997</v>
      </c>
      <c r="U82" s="110">
        <v>5399.991</v>
      </c>
      <c r="V82" s="110">
        <v>5604.91700473334</v>
      </c>
      <c r="W82" s="110">
        <v>5168.0962565559503</v>
      </c>
      <c r="X82" s="110">
        <v>5165.5959999999995</v>
      </c>
      <c r="Y82" s="110">
        <v>4215.5969999999998</v>
      </c>
      <c r="Z82" s="110">
        <v>4082.3029999999999</v>
      </c>
    </row>
    <row r="83" spans="1:26" s="139" customFormat="1" ht="13.5" customHeight="1" x14ac:dyDescent="0.25">
      <c r="A83" s="136" t="s">
        <v>310</v>
      </c>
      <c r="B83" s="137" t="s">
        <v>311</v>
      </c>
      <c r="C83" s="138" t="s">
        <v>256</v>
      </c>
      <c r="D83" s="138" t="s">
        <v>256</v>
      </c>
      <c r="E83" s="138" t="s">
        <v>256</v>
      </c>
      <c r="F83" s="110" t="s">
        <v>256</v>
      </c>
      <c r="G83" s="110" t="s">
        <v>256</v>
      </c>
      <c r="H83" s="110" t="s">
        <v>256</v>
      </c>
      <c r="I83" s="110" t="s">
        <v>256</v>
      </c>
      <c r="J83" s="110" t="s">
        <v>256</v>
      </c>
      <c r="K83" s="110">
        <v>2182</v>
      </c>
      <c r="L83" s="110">
        <v>2571</v>
      </c>
      <c r="M83" s="110">
        <v>2809</v>
      </c>
      <c r="N83" s="110">
        <v>5148</v>
      </c>
      <c r="O83" s="110">
        <v>7530</v>
      </c>
      <c r="P83" s="110">
        <v>8762</v>
      </c>
      <c r="Q83" s="110">
        <v>7008</v>
      </c>
      <c r="R83" s="110">
        <v>7582</v>
      </c>
      <c r="S83" s="110">
        <v>7735.3280000000004</v>
      </c>
      <c r="T83" s="110">
        <v>8222.2970000000005</v>
      </c>
      <c r="U83" s="110">
        <v>13437.028</v>
      </c>
      <c r="V83" s="110">
        <v>15329.442999999999</v>
      </c>
      <c r="W83" s="110">
        <v>13592.266</v>
      </c>
      <c r="X83" s="110">
        <v>12950.508</v>
      </c>
      <c r="Y83" s="110">
        <v>14842.842000000001</v>
      </c>
      <c r="Z83" s="110">
        <v>14438.337</v>
      </c>
    </row>
    <row r="84" spans="1:26" ht="13.5" customHeight="1" x14ac:dyDescent="0.25">
      <c r="A84" s="140" t="s">
        <v>312</v>
      </c>
      <c r="B84" s="132" t="s">
        <v>313</v>
      </c>
      <c r="C84" s="110" t="s">
        <v>256</v>
      </c>
      <c r="D84" s="110" t="s">
        <v>256</v>
      </c>
      <c r="E84" s="110" t="s">
        <v>256</v>
      </c>
      <c r="F84" s="110" t="s">
        <v>256</v>
      </c>
      <c r="G84" s="110" t="s">
        <v>256</v>
      </c>
      <c r="H84" s="110" t="s">
        <v>256</v>
      </c>
      <c r="I84" s="110" t="s">
        <v>256</v>
      </c>
      <c r="J84" s="110" t="s">
        <v>256</v>
      </c>
      <c r="K84" s="110" t="s">
        <v>256</v>
      </c>
      <c r="L84" s="110" t="s">
        <v>256</v>
      </c>
      <c r="M84" s="110" t="s">
        <v>256</v>
      </c>
      <c r="N84" s="110" t="s">
        <v>256</v>
      </c>
      <c r="O84" s="110"/>
      <c r="P84" s="110"/>
      <c r="Q84" s="110"/>
      <c r="R84" s="110"/>
      <c r="S84" s="110"/>
      <c r="T84" s="110"/>
      <c r="U84" s="110"/>
      <c r="V84" s="110"/>
      <c r="W84" s="110"/>
      <c r="X84" s="110"/>
    </row>
    <row r="85" spans="1:26" ht="13.5" customHeight="1" x14ac:dyDescent="0.25">
      <c r="A85" s="96"/>
      <c r="B85" s="129" t="s">
        <v>314</v>
      </c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</row>
    <row r="86" spans="1:26" ht="15.75" customHeight="1" x14ac:dyDescent="0.25">
      <c r="A86" s="96">
        <v>456</v>
      </c>
      <c r="B86" s="141" t="s">
        <v>315</v>
      </c>
      <c r="C86" s="110" t="s">
        <v>256</v>
      </c>
      <c r="D86" s="110" t="s">
        <v>256</v>
      </c>
      <c r="E86" s="110" t="s">
        <v>256</v>
      </c>
      <c r="F86" s="110" t="s">
        <v>256</v>
      </c>
      <c r="G86" s="110" t="s">
        <v>256</v>
      </c>
      <c r="H86" s="110" t="s">
        <v>256</v>
      </c>
      <c r="I86" s="110" t="s">
        <v>256</v>
      </c>
      <c r="J86" s="110" t="s">
        <v>256</v>
      </c>
      <c r="K86" s="110"/>
      <c r="L86" s="110"/>
      <c r="M86" s="110"/>
      <c r="N86" s="110"/>
      <c r="O86" s="110"/>
      <c r="P86" s="110"/>
      <c r="Q86" s="110"/>
      <c r="R86" s="121"/>
      <c r="S86" s="121"/>
      <c r="T86" s="121"/>
      <c r="U86" s="127"/>
      <c r="V86" s="128"/>
    </row>
    <row r="87" spans="1:26" ht="13.5" customHeight="1" x14ac:dyDescent="0.25">
      <c r="A87" s="96">
        <v>457</v>
      </c>
      <c r="B87" s="133" t="s">
        <v>316</v>
      </c>
      <c r="C87" s="110" t="s">
        <v>256</v>
      </c>
      <c r="D87" s="110" t="s">
        <v>256</v>
      </c>
      <c r="E87" s="110" t="s">
        <v>256</v>
      </c>
      <c r="F87" s="110" t="s">
        <v>256</v>
      </c>
      <c r="G87" s="110" t="s">
        <v>256</v>
      </c>
      <c r="H87" s="110" t="s">
        <v>256</v>
      </c>
      <c r="I87" s="110" t="s">
        <v>256</v>
      </c>
      <c r="J87" s="110" t="s">
        <v>256</v>
      </c>
      <c r="K87" s="110" t="s">
        <v>256</v>
      </c>
      <c r="L87" s="110" t="s">
        <v>256</v>
      </c>
      <c r="M87" s="110" t="s">
        <v>256</v>
      </c>
      <c r="N87" s="110" t="s">
        <v>256</v>
      </c>
      <c r="O87" s="110"/>
      <c r="P87" s="110"/>
      <c r="Q87" s="110"/>
      <c r="R87" s="121"/>
      <c r="S87" s="121"/>
      <c r="T87" s="121"/>
      <c r="U87" s="127"/>
      <c r="V87" s="128"/>
    </row>
    <row r="88" spans="1:26" ht="28.5" customHeight="1" x14ac:dyDescent="0.25">
      <c r="A88" s="92" t="s">
        <v>317</v>
      </c>
      <c r="B88" s="93" t="s">
        <v>318</v>
      </c>
      <c r="C88" s="107">
        <v>1995</v>
      </c>
      <c r="D88" s="107">
        <v>1996</v>
      </c>
      <c r="E88" s="107">
        <v>1997</v>
      </c>
      <c r="F88" s="107">
        <v>1998</v>
      </c>
      <c r="G88" s="107">
        <v>1999</v>
      </c>
      <c r="H88" s="107">
        <v>2000</v>
      </c>
      <c r="I88" s="107">
        <v>2001</v>
      </c>
      <c r="J88" s="107">
        <v>2002</v>
      </c>
      <c r="K88" s="107">
        <v>2003</v>
      </c>
      <c r="L88" s="107">
        <v>2004</v>
      </c>
      <c r="M88" s="107">
        <v>2005</v>
      </c>
      <c r="N88" s="107">
        <v>2006</v>
      </c>
      <c r="O88" s="107">
        <v>2007</v>
      </c>
      <c r="P88" s="107">
        <v>2008</v>
      </c>
      <c r="Q88" s="107">
        <v>2009</v>
      </c>
      <c r="R88" s="108">
        <v>2010</v>
      </c>
      <c r="S88" s="108">
        <v>2011</v>
      </c>
      <c r="T88" s="108">
        <v>2012</v>
      </c>
      <c r="U88" s="109">
        <v>2013</v>
      </c>
      <c r="V88" s="92">
        <v>2014</v>
      </c>
      <c r="W88" s="92">
        <v>2015</v>
      </c>
      <c r="X88" s="92">
        <v>2016</v>
      </c>
      <c r="Y88" s="92">
        <v>2017</v>
      </c>
      <c r="Z88" s="92">
        <v>2018</v>
      </c>
    </row>
    <row r="89" spans="1:26" ht="13.5" customHeight="1" x14ac:dyDescent="0.25">
      <c r="A89" s="96">
        <v>1284</v>
      </c>
      <c r="B89" s="132" t="s">
        <v>319</v>
      </c>
      <c r="C89" s="110" t="s">
        <v>256</v>
      </c>
      <c r="D89" s="110" t="s">
        <v>256</v>
      </c>
      <c r="E89" s="110" t="s">
        <v>256</v>
      </c>
      <c r="F89" s="110" t="s">
        <v>256</v>
      </c>
      <c r="G89" s="110" t="s">
        <v>256</v>
      </c>
      <c r="H89" s="110" t="s">
        <v>256</v>
      </c>
      <c r="I89" s="110" t="s">
        <v>256</v>
      </c>
      <c r="J89" s="110" t="s">
        <v>256</v>
      </c>
      <c r="K89" s="110"/>
      <c r="L89" s="110" t="s">
        <v>256</v>
      </c>
      <c r="M89" s="110" t="s">
        <v>256</v>
      </c>
      <c r="N89" s="110" t="s">
        <v>256</v>
      </c>
      <c r="O89" s="110"/>
      <c r="P89" s="110"/>
      <c r="Q89" s="110"/>
      <c r="R89" s="110"/>
      <c r="S89" s="110"/>
      <c r="T89" s="110"/>
      <c r="U89" s="110"/>
      <c r="V89" s="110"/>
      <c r="W89" s="110"/>
      <c r="X89" s="110"/>
    </row>
    <row r="90" spans="1:26" ht="13.5" customHeight="1" x14ac:dyDescent="0.25">
      <c r="A90" s="96">
        <v>1285</v>
      </c>
      <c r="B90" s="132" t="s">
        <v>320</v>
      </c>
      <c r="C90" s="110" t="s">
        <v>256</v>
      </c>
      <c r="D90" s="110" t="s">
        <v>256</v>
      </c>
      <c r="E90" s="110" t="s">
        <v>256</v>
      </c>
      <c r="F90" s="110" t="s">
        <v>256</v>
      </c>
      <c r="G90" s="110" t="s">
        <v>256</v>
      </c>
      <c r="H90" s="110" t="s">
        <v>256</v>
      </c>
      <c r="I90" s="110" t="s">
        <v>256</v>
      </c>
      <c r="J90" s="110" t="s">
        <v>256</v>
      </c>
      <c r="K90" s="110" t="s">
        <v>256</v>
      </c>
      <c r="L90" s="110"/>
      <c r="M90" s="110" t="s">
        <v>256</v>
      </c>
      <c r="N90" s="110" t="s">
        <v>256</v>
      </c>
      <c r="O90" s="110"/>
      <c r="P90" s="110"/>
      <c r="Q90" s="110"/>
      <c r="R90" s="110"/>
      <c r="S90" s="110"/>
      <c r="T90" s="110"/>
      <c r="U90" s="110"/>
      <c r="V90" s="110"/>
      <c r="W90" s="110"/>
      <c r="X90" s="110"/>
    </row>
    <row r="91" spans="1:26" ht="13.5" customHeight="1" x14ac:dyDescent="0.25">
      <c r="A91" s="96">
        <v>1286</v>
      </c>
      <c r="B91" s="132" t="s">
        <v>321</v>
      </c>
      <c r="C91" s="110" t="s">
        <v>256</v>
      </c>
      <c r="D91" s="110" t="s">
        <v>256</v>
      </c>
      <c r="E91" s="110" t="s">
        <v>256</v>
      </c>
      <c r="F91" s="110" t="s">
        <v>256</v>
      </c>
      <c r="G91" s="110" t="s">
        <v>256</v>
      </c>
      <c r="H91" s="110" t="s">
        <v>256</v>
      </c>
      <c r="I91" s="110">
        <v>19734.097999999998</v>
      </c>
      <c r="J91" s="110">
        <v>27587.281999999999</v>
      </c>
      <c r="K91" s="110">
        <v>30130.274000000001</v>
      </c>
      <c r="L91" s="110" t="s">
        <v>256</v>
      </c>
      <c r="M91" s="110"/>
      <c r="N91" s="110" t="s">
        <v>256</v>
      </c>
      <c r="O91" s="110"/>
      <c r="P91" s="110"/>
      <c r="Q91" s="110"/>
      <c r="R91" s="110"/>
      <c r="S91" s="110"/>
      <c r="T91" s="110"/>
      <c r="U91" s="110"/>
      <c r="V91" s="110"/>
      <c r="W91" s="110"/>
      <c r="X91" s="110"/>
    </row>
    <row r="92" spans="1:26" ht="13.5" customHeight="1" x14ac:dyDescent="0.25">
      <c r="A92" s="96">
        <v>1287</v>
      </c>
      <c r="B92" s="132" t="s">
        <v>322</v>
      </c>
      <c r="C92" s="110" t="s">
        <v>256</v>
      </c>
      <c r="D92" s="110" t="s">
        <v>256</v>
      </c>
      <c r="E92" s="110" t="s">
        <v>256</v>
      </c>
      <c r="F92" s="110" t="s">
        <v>256</v>
      </c>
      <c r="G92" s="110" t="s">
        <v>256</v>
      </c>
      <c r="H92" s="110" t="s">
        <v>256</v>
      </c>
      <c r="I92" s="110">
        <v>13385.061</v>
      </c>
      <c r="J92" s="110">
        <v>19048.563999999998</v>
      </c>
      <c r="K92" s="110">
        <v>23781.237000000001</v>
      </c>
      <c r="L92" s="110" t="s">
        <v>256</v>
      </c>
      <c r="M92" s="110" t="s">
        <v>256</v>
      </c>
      <c r="N92" s="110" t="s">
        <v>256</v>
      </c>
      <c r="O92" s="110"/>
      <c r="P92" s="110"/>
      <c r="Q92" s="110"/>
      <c r="R92" s="110"/>
      <c r="S92" s="110"/>
      <c r="T92" s="110"/>
      <c r="U92" s="110"/>
      <c r="V92" s="110"/>
      <c r="W92" s="110"/>
      <c r="X92" s="110"/>
    </row>
    <row r="93" spans="1:26" ht="13.5" customHeight="1" x14ac:dyDescent="0.25">
      <c r="A93" s="96">
        <v>1288</v>
      </c>
      <c r="B93" s="132" t="s">
        <v>323</v>
      </c>
      <c r="C93" s="110" t="s">
        <v>256</v>
      </c>
      <c r="D93" s="110" t="s">
        <v>256</v>
      </c>
      <c r="E93" s="110" t="s">
        <v>256</v>
      </c>
      <c r="F93" s="110" t="s">
        <v>256</v>
      </c>
      <c r="G93" s="110" t="s">
        <v>256</v>
      </c>
      <c r="H93" s="110" t="s">
        <v>256</v>
      </c>
      <c r="I93" s="110">
        <v>6349.0370000000003</v>
      </c>
      <c r="J93" s="110">
        <v>8538.7180000000008</v>
      </c>
      <c r="K93" s="110">
        <v>6349.0370000000003</v>
      </c>
      <c r="L93" s="110" t="s">
        <v>256</v>
      </c>
      <c r="M93" s="110" t="s">
        <v>256</v>
      </c>
      <c r="N93" s="110" t="s">
        <v>256</v>
      </c>
      <c r="O93" s="110"/>
      <c r="P93" s="110"/>
      <c r="Q93" s="110"/>
      <c r="R93" s="110"/>
      <c r="S93" s="110"/>
      <c r="T93" s="110"/>
      <c r="U93" s="110"/>
      <c r="V93" s="110"/>
      <c r="W93" s="110"/>
      <c r="X93" s="110"/>
    </row>
    <row r="94" spans="1:26" ht="13.5" customHeight="1" x14ac:dyDescent="0.25">
      <c r="A94" s="96">
        <v>1289</v>
      </c>
      <c r="B94" s="132" t="s">
        <v>324</v>
      </c>
      <c r="C94" s="110" t="s">
        <v>256</v>
      </c>
      <c r="D94" s="110" t="s">
        <v>256</v>
      </c>
      <c r="E94" s="110" t="s">
        <v>256</v>
      </c>
      <c r="F94" s="110" t="s">
        <v>256</v>
      </c>
      <c r="G94" s="110" t="s">
        <v>256</v>
      </c>
      <c r="H94" s="110" t="s">
        <v>256</v>
      </c>
      <c r="I94" s="110" t="s">
        <v>256</v>
      </c>
      <c r="J94" s="110" t="s">
        <v>256</v>
      </c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</row>
    <row r="95" spans="1:26" ht="13.5" customHeight="1" x14ac:dyDescent="0.25">
      <c r="A95" s="96">
        <v>1290</v>
      </c>
      <c r="B95" s="132" t="s">
        <v>325</v>
      </c>
      <c r="C95" s="110" t="s">
        <v>256</v>
      </c>
      <c r="D95" s="110" t="s">
        <v>256</v>
      </c>
      <c r="E95" s="110" t="s">
        <v>256</v>
      </c>
      <c r="F95" s="110" t="s">
        <v>256</v>
      </c>
      <c r="G95" s="110" t="s">
        <v>256</v>
      </c>
      <c r="H95" s="110" t="s">
        <v>256</v>
      </c>
      <c r="I95" s="110" t="s">
        <v>256</v>
      </c>
      <c r="J95" s="110" t="s">
        <v>256</v>
      </c>
      <c r="K95" s="110">
        <v>44386.600118999995</v>
      </c>
      <c r="L95" s="110">
        <v>49930</v>
      </c>
      <c r="M95" s="110">
        <v>59876</v>
      </c>
      <c r="N95" s="110">
        <v>69727</v>
      </c>
      <c r="O95" s="110">
        <v>88645</v>
      </c>
      <c r="P95" s="110">
        <v>104606</v>
      </c>
      <c r="Q95" s="110">
        <v>105778</v>
      </c>
      <c r="R95" s="110">
        <v>107530.83300000001</v>
      </c>
      <c r="S95" s="110">
        <v>117651.249</v>
      </c>
      <c r="T95" s="110">
        <v>123804.902</v>
      </c>
      <c r="U95" s="110">
        <v>128363.01</v>
      </c>
      <c r="V95" s="110">
        <v>125311.44500000001</v>
      </c>
      <c r="W95" s="110">
        <v>114476.173</v>
      </c>
      <c r="X95" s="110">
        <v>114480.97199999999</v>
      </c>
      <c r="Y95" s="110">
        <v>117705.705</v>
      </c>
      <c r="Z95" s="118">
        <v>130597.705</v>
      </c>
    </row>
    <row r="96" spans="1:26" ht="13.5" customHeight="1" x14ac:dyDescent="0.25">
      <c r="A96" s="96">
        <v>1291</v>
      </c>
      <c r="B96" s="132" t="s">
        <v>326</v>
      </c>
      <c r="C96" s="110" t="s">
        <v>256</v>
      </c>
      <c r="D96" s="110" t="s">
        <v>256</v>
      </c>
      <c r="E96" s="110" t="s">
        <v>256</v>
      </c>
      <c r="F96" s="110" t="s">
        <v>256</v>
      </c>
      <c r="G96" s="110" t="s">
        <v>256</v>
      </c>
      <c r="H96" s="110" t="s">
        <v>256</v>
      </c>
      <c r="I96" s="110" t="s">
        <v>256</v>
      </c>
      <c r="J96" s="110" t="s">
        <v>256</v>
      </c>
      <c r="K96" s="110">
        <v>30130.3</v>
      </c>
      <c r="L96" s="110">
        <v>37575.5</v>
      </c>
      <c r="M96" s="110">
        <v>45303.7</v>
      </c>
      <c r="N96" s="110">
        <v>51716.4</v>
      </c>
      <c r="O96" s="110">
        <v>67387.3</v>
      </c>
      <c r="P96" s="110">
        <v>80176.2</v>
      </c>
      <c r="Q96" s="110">
        <v>82163.7</v>
      </c>
      <c r="R96" s="110">
        <v>85491</v>
      </c>
      <c r="S96" s="110">
        <v>92525.951000000001</v>
      </c>
      <c r="T96" s="110">
        <v>96396.534</v>
      </c>
      <c r="U96" s="110">
        <v>100086.508</v>
      </c>
      <c r="V96" s="110">
        <v>99269.801999999996</v>
      </c>
      <c r="W96" s="110">
        <v>90550.334000000003</v>
      </c>
      <c r="X96" s="110">
        <v>89908.462</v>
      </c>
      <c r="Y96" s="110">
        <v>92992.334000000003</v>
      </c>
      <c r="Z96" s="110">
        <v>99807.762000000002</v>
      </c>
    </row>
    <row r="97" spans="1:26" ht="13.5" customHeight="1" x14ac:dyDescent="0.25">
      <c r="A97" s="96">
        <v>1292</v>
      </c>
      <c r="B97" s="132" t="s">
        <v>327</v>
      </c>
      <c r="C97" s="110" t="s">
        <v>256</v>
      </c>
      <c r="D97" s="110" t="s">
        <v>256</v>
      </c>
      <c r="E97" s="110" t="s">
        <v>256</v>
      </c>
      <c r="F97" s="110" t="s">
        <v>256</v>
      </c>
      <c r="G97" s="110" t="s">
        <v>256</v>
      </c>
      <c r="H97" s="110" t="s">
        <v>256</v>
      </c>
      <c r="I97" s="110" t="s">
        <v>256</v>
      </c>
      <c r="J97" s="110" t="s">
        <v>256</v>
      </c>
      <c r="K97" s="110" t="s">
        <v>256</v>
      </c>
      <c r="L97" s="110">
        <v>7113</v>
      </c>
      <c r="M97" s="110">
        <v>8317</v>
      </c>
      <c r="N97" s="110">
        <v>9731</v>
      </c>
      <c r="O97" s="110">
        <v>12848</v>
      </c>
      <c r="P97" s="110"/>
      <c r="Q97" s="110"/>
      <c r="R97" s="110"/>
      <c r="S97" s="110"/>
      <c r="T97" s="110"/>
      <c r="U97" s="110"/>
      <c r="V97" s="110"/>
      <c r="W97" s="110"/>
      <c r="X97" s="110"/>
    </row>
    <row r="98" spans="1:26" ht="14.25" customHeight="1" x14ac:dyDescent="0.25">
      <c r="A98" s="96">
        <v>141</v>
      </c>
      <c r="B98" s="132" t="s">
        <v>328</v>
      </c>
      <c r="C98" s="110" t="s">
        <v>256</v>
      </c>
      <c r="D98" s="110" t="s">
        <v>256</v>
      </c>
      <c r="E98" s="110" t="s">
        <v>256</v>
      </c>
      <c r="F98" s="110" t="s">
        <v>256</v>
      </c>
      <c r="G98" s="110" t="s">
        <v>256</v>
      </c>
      <c r="H98" s="110" t="s">
        <v>256</v>
      </c>
      <c r="I98" s="110" t="s">
        <v>256</v>
      </c>
      <c r="J98" s="110" t="s">
        <v>256</v>
      </c>
      <c r="K98" s="110" t="s">
        <v>256</v>
      </c>
      <c r="L98" s="110" t="s">
        <v>256</v>
      </c>
      <c r="M98" s="110" t="s">
        <v>256</v>
      </c>
      <c r="N98" s="110" t="s">
        <v>256</v>
      </c>
      <c r="O98" s="110"/>
      <c r="P98" s="110"/>
      <c r="Q98" s="110"/>
      <c r="R98" s="110"/>
      <c r="S98" s="110"/>
      <c r="T98" s="110"/>
      <c r="U98" s="110"/>
      <c r="V98" s="110"/>
      <c r="W98" s="110"/>
      <c r="X98" s="110"/>
    </row>
    <row r="99" spans="1:26" s="106" customFormat="1" ht="13.5" customHeight="1" x14ac:dyDescent="0.25">
      <c r="A99" s="96">
        <v>143</v>
      </c>
      <c r="B99" s="132" t="s">
        <v>329</v>
      </c>
      <c r="C99" s="110">
        <v>1243</v>
      </c>
      <c r="D99" s="110">
        <v>2337</v>
      </c>
      <c r="E99" s="110">
        <v>2752</v>
      </c>
      <c r="F99" s="110">
        <v>2746</v>
      </c>
      <c r="G99" s="110">
        <v>3379</v>
      </c>
      <c r="H99" s="110">
        <v>6132</v>
      </c>
      <c r="I99" s="110">
        <v>16785</v>
      </c>
      <c r="J99" s="110">
        <v>18759.980830619796</v>
      </c>
      <c r="K99" s="110">
        <v>24791</v>
      </c>
      <c r="L99" s="110">
        <v>26391</v>
      </c>
      <c r="M99" s="110">
        <v>35243</v>
      </c>
      <c r="N99" s="110">
        <v>46889</v>
      </c>
      <c r="O99" s="110">
        <v>68391</v>
      </c>
      <c r="P99" s="110">
        <v>77186</v>
      </c>
      <c r="Q99" s="110">
        <v>84387</v>
      </c>
      <c r="R99" s="110">
        <v>95596</v>
      </c>
      <c r="S99" s="110">
        <v>103525.86982480899</v>
      </c>
      <c r="T99" s="110">
        <v>109544.40992000001</v>
      </c>
      <c r="U99" s="110">
        <v>119432.33951078</v>
      </c>
      <c r="V99" s="110">
        <v>124983.32683333301</v>
      </c>
      <c r="W99" s="110">
        <v>125925.31039030101</v>
      </c>
      <c r="X99" s="110">
        <v>127323.88606170101</v>
      </c>
      <c r="Y99" s="110">
        <v>127462.634390301</v>
      </c>
      <c r="Z99" s="110">
        <v>141436.48803961999</v>
      </c>
    </row>
    <row r="100" spans="1:26" s="106" customFormat="1" ht="13.5" customHeight="1" x14ac:dyDescent="0.25">
      <c r="A100" s="96">
        <v>150</v>
      </c>
      <c r="B100" s="132" t="s">
        <v>330</v>
      </c>
      <c r="C100" s="110">
        <v>680</v>
      </c>
      <c r="D100" s="110">
        <v>1275</v>
      </c>
      <c r="E100" s="110">
        <v>1500</v>
      </c>
      <c r="F100" s="110">
        <v>1500</v>
      </c>
      <c r="G100" s="110">
        <v>1850</v>
      </c>
      <c r="H100" s="110">
        <v>3345</v>
      </c>
      <c r="I100" s="110">
        <v>9150</v>
      </c>
      <c r="J100" s="110">
        <v>10028</v>
      </c>
      <c r="K100" s="110">
        <v>14304</v>
      </c>
      <c r="L100" s="110">
        <v>18424</v>
      </c>
      <c r="M100" s="110">
        <v>28274</v>
      </c>
      <c r="N100" s="110">
        <v>33588</v>
      </c>
      <c r="O100" s="110">
        <v>47854</v>
      </c>
      <c r="P100" s="110">
        <v>53687</v>
      </c>
      <c r="Q100" s="110">
        <v>57065</v>
      </c>
      <c r="R100" s="110">
        <v>65271</v>
      </c>
      <c r="S100" s="110">
        <v>69325</v>
      </c>
      <c r="T100" s="110">
        <v>77134.6622060144</v>
      </c>
      <c r="U100" s="110">
        <v>83360.757824779997</v>
      </c>
      <c r="V100" s="110">
        <v>89229.776858509998</v>
      </c>
      <c r="W100" s="110">
        <v>88849.089196047906</v>
      </c>
      <c r="X100" s="110">
        <v>94868.314061700803</v>
      </c>
      <c r="Y100" s="110">
        <v>96197.635390300798</v>
      </c>
      <c r="Z100" s="110">
        <v>102807.11203962</v>
      </c>
    </row>
    <row r="101" spans="1:26" ht="13.5" customHeight="1" x14ac:dyDescent="0.25">
      <c r="A101" s="96">
        <v>176</v>
      </c>
      <c r="B101" s="132" t="s">
        <v>331</v>
      </c>
      <c r="C101" s="110" t="s">
        <v>256</v>
      </c>
      <c r="D101" s="110" t="s">
        <v>256</v>
      </c>
      <c r="E101" s="110" t="s">
        <v>256</v>
      </c>
      <c r="F101" s="110" t="s">
        <v>256</v>
      </c>
      <c r="G101" s="110" t="s">
        <v>256</v>
      </c>
      <c r="H101" s="110" t="s">
        <v>256</v>
      </c>
      <c r="I101" s="110" t="s">
        <v>256</v>
      </c>
      <c r="J101" s="110" t="s">
        <v>256</v>
      </c>
      <c r="K101" s="110" t="s">
        <v>256</v>
      </c>
      <c r="L101" s="110" t="s">
        <v>256</v>
      </c>
      <c r="M101" s="110" t="s">
        <v>256</v>
      </c>
      <c r="N101" s="110" t="s">
        <v>256</v>
      </c>
      <c r="O101" s="110"/>
      <c r="P101" s="110"/>
      <c r="Q101" s="110"/>
      <c r="U101" s="127"/>
      <c r="V101" s="121"/>
    </row>
    <row r="102" spans="1:26" ht="13.5" customHeight="1" x14ac:dyDescent="0.25">
      <c r="A102" s="140">
        <v>158</v>
      </c>
      <c r="B102" s="130" t="s">
        <v>332</v>
      </c>
      <c r="C102" s="110" t="s">
        <v>256</v>
      </c>
      <c r="D102" s="110" t="s">
        <v>256</v>
      </c>
      <c r="E102" s="110" t="s">
        <v>256</v>
      </c>
      <c r="F102" s="110" t="s">
        <v>256</v>
      </c>
      <c r="G102" s="110" t="s">
        <v>256</v>
      </c>
      <c r="H102" s="110" t="s">
        <v>256</v>
      </c>
      <c r="I102" s="110" t="s">
        <v>256</v>
      </c>
      <c r="J102" s="110" t="s">
        <v>256</v>
      </c>
      <c r="K102" s="110"/>
      <c r="L102" s="110"/>
      <c r="M102" s="110" t="s">
        <v>256</v>
      </c>
      <c r="N102" s="110" t="s">
        <v>256</v>
      </c>
      <c r="O102" s="110"/>
      <c r="P102" s="110"/>
      <c r="Q102" s="110"/>
      <c r="R102" s="121"/>
      <c r="S102" s="121"/>
      <c r="T102" s="121"/>
      <c r="U102" s="127"/>
      <c r="V102" s="128"/>
    </row>
    <row r="103" spans="1:26" ht="27" customHeight="1" x14ac:dyDescent="0.25">
      <c r="A103" s="92" t="s">
        <v>333</v>
      </c>
      <c r="B103" s="93" t="s">
        <v>334</v>
      </c>
      <c r="C103" s="107">
        <v>1995</v>
      </c>
      <c r="D103" s="107">
        <v>1996</v>
      </c>
      <c r="E103" s="107">
        <v>1997</v>
      </c>
      <c r="F103" s="107">
        <v>1998</v>
      </c>
      <c r="G103" s="107">
        <v>1999</v>
      </c>
      <c r="H103" s="107">
        <v>2000</v>
      </c>
      <c r="I103" s="107">
        <v>2001</v>
      </c>
      <c r="J103" s="107">
        <v>2002</v>
      </c>
      <c r="K103" s="107">
        <v>2003</v>
      </c>
      <c r="L103" s="107">
        <v>2004</v>
      </c>
      <c r="M103" s="107">
        <v>2005</v>
      </c>
      <c r="N103" s="107">
        <v>2006</v>
      </c>
      <c r="O103" s="107">
        <v>2007</v>
      </c>
      <c r="P103" s="107">
        <v>2008</v>
      </c>
      <c r="Q103" s="107">
        <v>2009</v>
      </c>
      <c r="R103" s="108">
        <v>2010</v>
      </c>
      <c r="S103" s="108">
        <v>2011</v>
      </c>
      <c r="T103" s="108">
        <v>2012</v>
      </c>
      <c r="U103" s="109">
        <v>2013</v>
      </c>
      <c r="V103" s="92">
        <v>2014</v>
      </c>
      <c r="W103" s="92">
        <v>2015</v>
      </c>
      <c r="X103" s="92">
        <v>2016</v>
      </c>
      <c r="Y103" s="92">
        <v>2017</v>
      </c>
      <c r="Z103" s="92">
        <v>2018</v>
      </c>
    </row>
    <row r="104" spans="1:26" ht="13.5" customHeight="1" x14ac:dyDescent="0.25">
      <c r="A104" s="96"/>
      <c r="B104" s="129" t="s">
        <v>335</v>
      </c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</row>
    <row r="105" spans="1:26" ht="13.5" customHeight="1" x14ac:dyDescent="0.25">
      <c r="A105" s="96">
        <v>104</v>
      </c>
      <c r="B105" s="103" t="s">
        <v>336</v>
      </c>
      <c r="C105" s="110" t="s">
        <v>256</v>
      </c>
      <c r="D105" s="110" t="s">
        <v>256</v>
      </c>
      <c r="E105" s="110">
        <v>5066</v>
      </c>
      <c r="F105" s="110">
        <v>6230</v>
      </c>
      <c r="G105" s="110">
        <v>6795.8</v>
      </c>
      <c r="H105" s="110">
        <v>12979.6</v>
      </c>
      <c r="I105" s="110">
        <v>17370</v>
      </c>
      <c r="J105" s="110">
        <v>17390</v>
      </c>
      <c r="K105" s="110" t="s">
        <v>256</v>
      </c>
      <c r="L105" s="110">
        <v>165.38</v>
      </c>
      <c r="M105" s="110">
        <v>174.73</v>
      </c>
      <c r="N105" s="110">
        <v>204.97499999999999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</row>
    <row r="106" spans="1:26" ht="13.5" customHeight="1" x14ac:dyDescent="0.25">
      <c r="A106" s="96">
        <v>105</v>
      </c>
      <c r="B106" s="133" t="s">
        <v>337</v>
      </c>
      <c r="C106" s="110" t="s">
        <v>256</v>
      </c>
      <c r="D106" s="110" t="s">
        <v>256</v>
      </c>
      <c r="E106" s="110" t="s">
        <v>256</v>
      </c>
      <c r="F106" s="110" t="s">
        <v>256</v>
      </c>
      <c r="G106" s="110" t="s">
        <v>256</v>
      </c>
      <c r="H106" s="110" t="s">
        <v>256</v>
      </c>
      <c r="I106" s="110" t="s">
        <v>256</v>
      </c>
      <c r="J106" s="110" t="s">
        <v>256</v>
      </c>
      <c r="K106" s="110" t="s">
        <v>256</v>
      </c>
      <c r="L106" s="110" t="s">
        <v>256</v>
      </c>
      <c r="M106" s="110" t="s">
        <v>256</v>
      </c>
      <c r="N106" s="110" t="s">
        <v>256</v>
      </c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</row>
    <row r="107" spans="1:26" ht="13.5" customHeight="1" x14ac:dyDescent="0.25">
      <c r="A107" s="96">
        <v>106</v>
      </c>
      <c r="B107" s="133" t="s">
        <v>338</v>
      </c>
      <c r="C107" s="110" t="s">
        <v>256</v>
      </c>
      <c r="D107" s="110">
        <v>3455.1459999999997</v>
      </c>
      <c r="E107" s="110">
        <v>5279.8449999999993</v>
      </c>
      <c r="F107" s="110">
        <v>5966.4310000000005</v>
      </c>
      <c r="G107" s="110">
        <v>6450.9660000000003</v>
      </c>
      <c r="H107" s="110">
        <v>12017.616</v>
      </c>
      <c r="I107" s="110">
        <v>14914.772000000001</v>
      </c>
      <c r="J107" s="110">
        <v>19048.563999999998</v>
      </c>
      <c r="K107" s="110">
        <v>23781237</v>
      </c>
      <c r="L107" s="110">
        <v>19734</v>
      </c>
      <c r="M107" s="110" t="s">
        <v>256</v>
      </c>
      <c r="N107" s="110" t="s">
        <v>256</v>
      </c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</row>
    <row r="108" spans="1:26" ht="13.5" customHeight="1" x14ac:dyDescent="0.25">
      <c r="A108" s="96">
        <v>108</v>
      </c>
      <c r="B108" s="142" t="s">
        <v>339</v>
      </c>
      <c r="C108" s="110" t="s">
        <v>256</v>
      </c>
      <c r="D108" s="110" t="s">
        <v>256</v>
      </c>
      <c r="E108" s="110" t="s">
        <v>256</v>
      </c>
      <c r="F108" s="110" t="s">
        <v>256</v>
      </c>
      <c r="G108" s="110" t="s">
        <v>256</v>
      </c>
      <c r="H108" s="110" t="s">
        <v>256</v>
      </c>
      <c r="I108" s="110" t="s">
        <v>256</v>
      </c>
      <c r="J108" s="110" t="s">
        <v>256</v>
      </c>
      <c r="K108" s="110" t="s">
        <v>256</v>
      </c>
      <c r="L108" s="110" t="s">
        <v>256</v>
      </c>
      <c r="M108" s="110" t="s">
        <v>256</v>
      </c>
      <c r="N108" s="110" t="s">
        <v>256</v>
      </c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</row>
    <row r="109" spans="1:26" ht="13.5" customHeight="1" x14ac:dyDescent="0.25">
      <c r="A109" s="96">
        <v>109</v>
      </c>
      <c r="B109" s="142" t="s">
        <v>340</v>
      </c>
      <c r="C109" s="110" t="s">
        <v>256</v>
      </c>
      <c r="D109" s="110" t="s">
        <v>256</v>
      </c>
      <c r="E109" s="110" t="s">
        <v>256</v>
      </c>
      <c r="F109" s="110" t="s">
        <v>256</v>
      </c>
      <c r="G109" s="110" t="s">
        <v>256</v>
      </c>
      <c r="H109" s="110" t="s">
        <v>256</v>
      </c>
      <c r="I109" s="110" t="s">
        <v>256</v>
      </c>
      <c r="J109" s="110" t="s">
        <v>256</v>
      </c>
      <c r="K109" s="110" t="s">
        <v>256</v>
      </c>
      <c r="L109" s="110" t="s">
        <v>256</v>
      </c>
      <c r="M109" s="110" t="s">
        <v>256</v>
      </c>
      <c r="N109" s="110" t="s">
        <v>256</v>
      </c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</row>
    <row r="110" spans="1:26" ht="13.5" customHeight="1" x14ac:dyDescent="0.25">
      <c r="A110" s="96">
        <v>111</v>
      </c>
      <c r="B110" s="142" t="s">
        <v>341</v>
      </c>
      <c r="C110" s="110" t="s">
        <v>256</v>
      </c>
      <c r="D110" s="110" t="s">
        <v>256</v>
      </c>
      <c r="E110" s="110" t="s">
        <v>256</v>
      </c>
      <c r="F110" s="110" t="s">
        <v>256</v>
      </c>
      <c r="G110" s="110" t="s">
        <v>256</v>
      </c>
      <c r="H110" s="110">
        <v>1686.4780000000001</v>
      </c>
      <c r="I110" s="110">
        <v>2135.0419999999999</v>
      </c>
      <c r="J110" s="110">
        <v>3370.2750000000001</v>
      </c>
      <c r="K110" s="110">
        <v>3330</v>
      </c>
      <c r="L110" s="110" t="s">
        <v>256</v>
      </c>
      <c r="M110" s="110" t="s">
        <v>256</v>
      </c>
      <c r="N110" s="110" t="s">
        <v>256</v>
      </c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</row>
    <row r="111" spans="1:26" ht="13.5" customHeight="1" x14ac:dyDescent="0.25">
      <c r="A111" s="96"/>
      <c r="B111" s="129" t="s">
        <v>342</v>
      </c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</row>
    <row r="112" spans="1:26" ht="13.5" customHeight="1" x14ac:dyDescent="0.25">
      <c r="A112" s="96">
        <v>121</v>
      </c>
      <c r="B112" s="103" t="s">
        <v>343</v>
      </c>
      <c r="C112" s="110">
        <v>3331</v>
      </c>
      <c r="D112" s="110">
        <v>6501</v>
      </c>
      <c r="E112" s="110" t="s">
        <v>256</v>
      </c>
      <c r="F112" s="110" t="s">
        <v>256</v>
      </c>
      <c r="G112" s="110" t="s">
        <v>256</v>
      </c>
      <c r="H112" s="110" t="s">
        <v>256</v>
      </c>
      <c r="I112" s="110">
        <v>42490.9</v>
      </c>
      <c r="J112" s="110">
        <v>55737.8</v>
      </c>
      <c r="K112" s="110" t="s">
        <v>256</v>
      </c>
      <c r="L112" s="110" t="s">
        <v>256</v>
      </c>
      <c r="M112" s="110" t="s">
        <v>256</v>
      </c>
      <c r="N112" s="110" t="s">
        <v>256</v>
      </c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</row>
    <row r="113" spans="1:26" ht="13.5" customHeight="1" x14ac:dyDescent="0.25">
      <c r="A113" s="96">
        <v>139</v>
      </c>
      <c r="B113" s="103" t="s">
        <v>344</v>
      </c>
      <c r="C113" s="110" t="s">
        <v>256</v>
      </c>
      <c r="D113" s="110" t="s">
        <v>256</v>
      </c>
      <c r="E113" s="110" t="s">
        <v>256</v>
      </c>
      <c r="F113" s="110" t="s">
        <v>256</v>
      </c>
      <c r="G113" s="110" t="s">
        <v>256</v>
      </c>
      <c r="H113" s="110" t="s">
        <v>256</v>
      </c>
      <c r="I113" s="110" t="s">
        <v>256</v>
      </c>
      <c r="J113" s="110" t="s">
        <v>256</v>
      </c>
      <c r="K113" s="110" t="s">
        <v>256</v>
      </c>
      <c r="L113" s="110" t="s">
        <v>256</v>
      </c>
      <c r="M113" s="110" t="s">
        <v>256</v>
      </c>
      <c r="N113" s="110" t="s">
        <v>256</v>
      </c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</row>
    <row r="114" spans="1:26" ht="13.5" customHeight="1" x14ac:dyDescent="0.25">
      <c r="A114" s="96">
        <v>156</v>
      </c>
      <c r="B114" s="103" t="s">
        <v>345</v>
      </c>
      <c r="C114" s="110" t="s">
        <v>256</v>
      </c>
      <c r="D114" s="110" t="s">
        <v>256</v>
      </c>
      <c r="E114" s="110" t="s">
        <v>256</v>
      </c>
      <c r="F114" s="110" t="s">
        <v>256</v>
      </c>
      <c r="G114" s="110" t="s">
        <v>256</v>
      </c>
      <c r="H114" s="110" t="s">
        <v>256</v>
      </c>
      <c r="I114" s="110" t="s">
        <v>256</v>
      </c>
      <c r="J114" s="110" t="s">
        <v>256</v>
      </c>
      <c r="K114" s="110" t="s">
        <v>256</v>
      </c>
      <c r="L114" s="110" t="s">
        <v>256</v>
      </c>
      <c r="M114" s="110" t="s">
        <v>256</v>
      </c>
      <c r="N114" s="110" t="s">
        <v>256</v>
      </c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</row>
    <row r="115" spans="1:26" ht="13.5" customHeight="1" x14ac:dyDescent="0.25">
      <c r="A115" s="96">
        <v>157</v>
      </c>
      <c r="B115" s="103" t="s">
        <v>346</v>
      </c>
      <c r="C115" s="110" t="s">
        <v>256</v>
      </c>
      <c r="D115" s="110" t="s">
        <v>256</v>
      </c>
      <c r="E115" s="110" t="s">
        <v>256</v>
      </c>
      <c r="F115" s="110" t="s">
        <v>256</v>
      </c>
      <c r="G115" s="110" t="s">
        <v>256</v>
      </c>
      <c r="H115" s="110" t="s">
        <v>256</v>
      </c>
      <c r="I115" s="110" t="s">
        <v>256</v>
      </c>
      <c r="J115" s="110" t="s">
        <v>256</v>
      </c>
      <c r="K115" s="110" t="s">
        <v>256</v>
      </c>
      <c r="L115" s="110" t="s">
        <v>256</v>
      </c>
      <c r="M115" s="110" t="s">
        <v>256</v>
      </c>
      <c r="N115" s="110" t="s">
        <v>256</v>
      </c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</row>
    <row r="116" spans="1:26" ht="13.5" customHeight="1" x14ac:dyDescent="0.25">
      <c r="A116" s="96">
        <v>159</v>
      </c>
      <c r="B116" s="103" t="s">
        <v>347</v>
      </c>
      <c r="C116" s="110" t="s">
        <v>256</v>
      </c>
      <c r="D116" s="110" t="s">
        <v>256</v>
      </c>
      <c r="E116" s="110" t="s">
        <v>256</v>
      </c>
      <c r="F116" s="110" t="s">
        <v>256</v>
      </c>
      <c r="G116" s="110" t="s">
        <v>256</v>
      </c>
      <c r="H116" s="110" t="s">
        <v>256</v>
      </c>
      <c r="I116" s="110" t="s">
        <v>256</v>
      </c>
      <c r="J116" s="110" t="s">
        <v>256</v>
      </c>
      <c r="K116" s="110"/>
      <c r="L116" s="110"/>
      <c r="M116" s="110"/>
      <c r="N116" s="110" t="s">
        <v>256</v>
      </c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</row>
    <row r="117" spans="1:26" ht="13.5" customHeight="1" x14ac:dyDescent="0.25">
      <c r="A117" s="96">
        <v>161</v>
      </c>
      <c r="B117" s="103" t="s">
        <v>348</v>
      </c>
      <c r="C117" s="110" t="s">
        <v>256</v>
      </c>
      <c r="D117" s="110" t="s">
        <v>256</v>
      </c>
      <c r="E117" s="110" t="s">
        <v>256</v>
      </c>
      <c r="F117" s="110" t="s">
        <v>256</v>
      </c>
      <c r="G117" s="110" t="s">
        <v>256</v>
      </c>
      <c r="H117" s="110" t="s">
        <v>256</v>
      </c>
      <c r="I117" s="110" t="s">
        <v>256</v>
      </c>
      <c r="J117" s="110" t="s">
        <v>256</v>
      </c>
      <c r="K117" s="110" t="s">
        <v>256</v>
      </c>
      <c r="L117" s="110" t="s">
        <v>256</v>
      </c>
      <c r="M117" s="110" t="s">
        <v>256</v>
      </c>
      <c r="N117" s="110" t="s">
        <v>256</v>
      </c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</row>
    <row r="118" spans="1:26" ht="13.5" customHeight="1" x14ac:dyDescent="0.25">
      <c r="A118" s="96">
        <v>125</v>
      </c>
      <c r="B118" s="103" t="s">
        <v>349</v>
      </c>
      <c r="C118" s="110" t="s">
        <v>256</v>
      </c>
      <c r="D118" s="110" t="s">
        <v>256</v>
      </c>
      <c r="E118" s="110" t="s">
        <v>256</v>
      </c>
      <c r="F118" s="110" t="s">
        <v>256</v>
      </c>
      <c r="G118" s="110" t="s">
        <v>256</v>
      </c>
      <c r="H118" s="110" t="s">
        <v>256</v>
      </c>
      <c r="I118" s="110" t="s">
        <v>256</v>
      </c>
      <c r="J118" s="110" t="s">
        <v>256</v>
      </c>
      <c r="K118" s="110" t="s">
        <v>256</v>
      </c>
      <c r="L118" s="110" t="s">
        <v>256</v>
      </c>
      <c r="M118" s="110" t="s">
        <v>256</v>
      </c>
      <c r="N118" s="110" t="s">
        <v>256</v>
      </c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</row>
    <row r="119" spans="1:26" ht="13.5" customHeight="1" x14ac:dyDescent="0.25">
      <c r="A119" s="96">
        <v>127</v>
      </c>
      <c r="B119" s="103" t="s">
        <v>350</v>
      </c>
      <c r="C119" s="110" t="s">
        <v>256</v>
      </c>
      <c r="D119" s="110" t="s">
        <v>256</v>
      </c>
      <c r="E119" s="110" t="s">
        <v>256</v>
      </c>
      <c r="F119" s="110" t="s">
        <v>256</v>
      </c>
      <c r="G119" s="110" t="s">
        <v>256</v>
      </c>
      <c r="H119" s="110" t="s">
        <v>256</v>
      </c>
      <c r="I119" s="110" t="s">
        <v>256</v>
      </c>
      <c r="J119" s="110" t="s">
        <v>256</v>
      </c>
      <c r="K119" s="110" t="s">
        <v>256</v>
      </c>
      <c r="L119" s="110" t="s">
        <v>256</v>
      </c>
      <c r="M119" s="110" t="s">
        <v>256</v>
      </c>
      <c r="N119" s="110" t="s">
        <v>256</v>
      </c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</row>
    <row r="120" spans="1:26" ht="13.5" customHeight="1" x14ac:dyDescent="0.25">
      <c r="A120" s="96">
        <v>132</v>
      </c>
      <c r="B120" s="103" t="s">
        <v>351</v>
      </c>
      <c r="C120" s="110" t="s">
        <v>256</v>
      </c>
      <c r="D120" s="110" t="s">
        <v>256</v>
      </c>
      <c r="E120" s="110" t="s">
        <v>256</v>
      </c>
      <c r="F120" s="110" t="s">
        <v>256</v>
      </c>
      <c r="G120" s="110" t="s">
        <v>256</v>
      </c>
      <c r="H120" s="110" t="s">
        <v>256</v>
      </c>
      <c r="I120" s="110" t="s">
        <v>256</v>
      </c>
      <c r="J120" s="110" t="s">
        <v>256</v>
      </c>
      <c r="K120" s="110" t="s">
        <v>256</v>
      </c>
      <c r="L120" s="110" t="s">
        <v>256</v>
      </c>
      <c r="M120" s="110" t="s">
        <v>256</v>
      </c>
      <c r="N120" s="110" t="s">
        <v>256</v>
      </c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</row>
    <row r="121" spans="1:26" ht="13.5" customHeight="1" x14ac:dyDescent="0.25">
      <c r="A121" s="96">
        <v>236</v>
      </c>
      <c r="B121" s="143" t="s">
        <v>352</v>
      </c>
      <c r="C121" s="110" t="s">
        <v>256</v>
      </c>
      <c r="D121" s="110" t="s">
        <v>256</v>
      </c>
      <c r="E121" s="110" t="s">
        <v>256</v>
      </c>
      <c r="F121" s="110">
        <v>5.0999999999999996</v>
      </c>
      <c r="G121" s="110">
        <v>5.3</v>
      </c>
      <c r="H121" s="110">
        <v>5.6</v>
      </c>
      <c r="I121" s="110">
        <v>5.3</v>
      </c>
      <c r="J121" s="110">
        <v>5.8</v>
      </c>
      <c r="K121" s="110">
        <v>3</v>
      </c>
      <c r="L121" s="110" t="s">
        <v>256</v>
      </c>
      <c r="M121" s="110" t="s">
        <v>256</v>
      </c>
      <c r="N121" s="110" t="s">
        <v>256</v>
      </c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</row>
    <row r="122" spans="1:26" ht="13.5" customHeight="1" x14ac:dyDescent="0.25">
      <c r="A122" s="92" t="s">
        <v>57</v>
      </c>
      <c r="B122" s="93" t="s">
        <v>353</v>
      </c>
      <c r="C122" s="107">
        <v>1995</v>
      </c>
      <c r="D122" s="107">
        <v>1996</v>
      </c>
      <c r="E122" s="107">
        <v>1997</v>
      </c>
      <c r="F122" s="107">
        <v>1998</v>
      </c>
      <c r="G122" s="107">
        <v>1999</v>
      </c>
      <c r="H122" s="107">
        <v>2000</v>
      </c>
      <c r="I122" s="107">
        <v>2001</v>
      </c>
      <c r="J122" s="107">
        <v>2002</v>
      </c>
      <c r="K122" s="107">
        <v>2003</v>
      </c>
      <c r="L122" s="107">
        <v>2004</v>
      </c>
      <c r="M122" s="107">
        <v>2005</v>
      </c>
      <c r="N122" s="107">
        <v>2006</v>
      </c>
      <c r="O122" s="107">
        <v>2007</v>
      </c>
      <c r="P122" s="107">
        <v>2008</v>
      </c>
      <c r="Q122" s="107">
        <v>2009</v>
      </c>
      <c r="R122" s="107">
        <v>2010</v>
      </c>
      <c r="S122" s="107">
        <v>2011</v>
      </c>
      <c r="T122" s="107">
        <v>2012</v>
      </c>
      <c r="U122" s="92">
        <v>2013</v>
      </c>
      <c r="V122" s="92">
        <v>2014</v>
      </c>
      <c r="W122" s="92">
        <v>2015</v>
      </c>
      <c r="X122" s="92">
        <v>2016</v>
      </c>
      <c r="Y122" s="92">
        <v>2017</v>
      </c>
      <c r="Z122" s="92">
        <v>2018</v>
      </c>
    </row>
    <row r="123" spans="1:26" ht="13.5" customHeight="1" x14ac:dyDescent="0.25">
      <c r="A123" s="96">
        <v>1009</v>
      </c>
      <c r="B123" s="144" t="s">
        <v>354</v>
      </c>
      <c r="C123" s="110">
        <v>59295</v>
      </c>
      <c r="D123" s="110">
        <v>112494</v>
      </c>
      <c r="E123" s="110">
        <v>142770</v>
      </c>
      <c r="F123" s="110">
        <v>183405</v>
      </c>
      <c r="G123" s="110">
        <v>214681</v>
      </c>
      <c r="H123" s="110">
        <v>413121</v>
      </c>
      <c r="I123" s="110">
        <v>820842</v>
      </c>
      <c r="J123" s="110">
        <v>1037897</v>
      </c>
      <c r="K123" s="110">
        <v>1220160</v>
      </c>
      <c r="L123" s="110">
        <v>1451448</v>
      </c>
      <c r="M123" s="110">
        <v>1751371</v>
      </c>
      <c r="N123" s="110">
        <v>2055198</v>
      </c>
      <c r="O123" s="110">
        <v>2355066</v>
      </c>
      <c r="P123" s="110">
        <v>2744913</v>
      </c>
      <c r="Q123" s="110">
        <v>2880059</v>
      </c>
      <c r="R123" s="110">
        <v>3067210</v>
      </c>
      <c r="S123" s="110">
        <v>3407563</v>
      </c>
      <c r="T123" s="110">
        <v>3584236</v>
      </c>
      <c r="U123" s="110">
        <v>3876403</v>
      </c>
      <c r="V123" s="110">
        <v>3908469.6</v>
      </c>
      <c r="W123" s="110">
        <v>4043467.8</v>
      </c>
      <c r="X123" s="110">
        <v>4261927.4000000004</v>
      </c>
      <c r="Y123" s="110">
        <v>4464629</v>
      </c>
      <c r="Z123" s="110">
        <v>5059681</v>
      </c>
    </row>
    <row r="124" spans="1:26" ht="13.5" customHeight="1" x14ac:dyDescent="0.25">
      <c r="A124" s="96">
        <v>1014</v>
      </c>
      <c r="B124" s="144" t="s">
        <v>355</v>
      </c>
      <c r="C124" s="110">
        <v>18598.106160180672</v>
      </c>
      <c r="D124" s="110">
        <v>35284.178335160883</v>
      </c>
      <c r="E124" s="110">
        <v>44780.362871894678</v>
      </c>
      <c r="F124" s="110">
        <v>57525.687837219608</v>
      </c>
      <c r="G124" s="110">
        <v>67335.52624291672</v>
      </c>
      <c r="H124" s="110">
        <v>129577</v>
      </c>
      <c r="I124" s="110">
        <v>277527</v>
      </c>
      <c r="J124" s="110">
        <v>445279</v>
      </c>
      <c r="K124" s="110">
        <v>511248</v>
      </c>
      <c r="L124" s="110">
        <v>592568</v>
      </c>
      <c r="M124" s="110">
        <v>705281</v>
      </c>
      <c r="N124" s="110">
        <v>887706</v>
      </c>
      <c r="O124" s="110">
        <v>1022123</v>
      </c>
      <c r="P124" s="110">
        <v>1191987</v>
      </c>
      <c r="Q124" s="110">
        <v>1251347</v>
      </c>
      <c r="R124" s="110">
        <v>1338073</v>
      </c>
      <c r="S124" s="110">
        <v>1443869</v>
      </c>
      <c r="T124" s="110">
        <v>1652830</v>
      </c>
      <c r="U124" s="110">
        <v>1673510</v>
      </c>
      <c r="V124" s="110">
        <v>1795108</v>
      </c>
      <c r="W124" s="110">
        <v>1843965.5</v>
      </c>
      <c r="X124" s="110">
        <v>1896659.3</v>
      </c>
      <c r="Y124" s="110">
        <v>1921100</v>
      </c>
      <c r="Z124" s="110">
        <v>2074600</v>
      </c>
    </row>
    <row r="125" spans="1:26" ht="13.5" customHeight="1" x14ac:dyDescent="0.25">
      <c r="A125" s="96">
        <v>1015</v>
      </c>
      <c r="B125" s="133" t="s">
        <v>356</v>
      </c>
      <c r="C125" s="110" t="s">
        <v>256</v>
      </c>
      <c r="D125" s="110" t="s">
        <v>256</v>
      </c>
      <c r="E125" s="110" t="s">
        <v>256</v>
      </c>
      <c r="F125" s="110" t="s">
        <v>256</v>
      </c>
      <c r="G125" s="110" t="s">
        <v>256</v>
      </c>
      <c r="H125" s="110" t="s">
        <v>256</v>
      </c>
      <c r="I125" s="110" t="s">
        <v>256</v>
      </c>
      <c r="J125" s="110" t="s">
        <v>256</v>
      </c>
      <c r="K125" s="110" t="s">
        <v>256</v>
      </c>
      <c r="L125" s="110" t="s">
        <v>256</v>
      </c>
      <c r="M125" s="110" t="s">
        <v>256</v>
      </c>
      <c r="N125" s="110" t="s">
        <v>256</v>
      </c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</row>
    <row r="126" spans="1:26" ht="13.5" customHeight="1" x14ac:dyDescent="0.25">
      <c r="A126" s="96">
        <v>1016</v>
      </c>
      <c r="B126" s="134" t="s">
        <v>357</v>
      </c>
      <c r="C126" s="110"/>
      <c r="D126" s="110"/>
      <c r="E126" s="110"/>
      <c r="F126" s="110"/>
      <c r="G126" s="110" t="s">
        <v>256</v>
      </c>
      <c r="H126" s="110" t="s">
        <v>256</v>
      </c>
      <c r="I126" s="110" t="s">
        <v>256</v>
      </c>
      <c r="J126" s="110" t="s">
        <v>256</v>
      </c>
      <c r="K126" s="110" t="s">
        <v>256</v>
      </c>
      <c r="L126" s="110" t="s">
        <v>256</v>
      </c>
      <c r="M126" s="110" t="s">
        <v>256</v>
      </c>
      <c r="N126" s="110">
        <v>1958490.7353779464</v>
      </c>
      <c r="O126" s="110">
        <v>2241715.922784471</v>
      </c>
      <c r="P126" s="110">
        <v>2598911.8496703594</v>
      </c>
      <c r="Q126" s="110">
        <v>2778749.6417800877</v>
      </c>
      <c r="R126" s="110">
        <v>2960459.6410842654</v>
      </c>
      <c r="S126" s="110">
        <v>3247221.1607661149</v>
      </c>
      <c r="T126" s="110">
        <v>3428600.4106997815</v>
      </c>
      <c r="U126" s="110">
        <v>3607345.6999999997</v>
      </c>
      <c r="V126" s="110">
        <v>3648674.8</v>
      </c>
      <c r="W126" s="110">
        <v>3675538</v>
      </c>
      <c r="X126" s="110">
        <v>3749365</v>
      </c>
      <c r="Y126" s="110">
        <v>3920460.155834835</v>
      </c>
    </row>
    <row r="127" spans="1:26" ht="13.5" customHeight="1" x14ac:dyDescent="0.25">
      <c r="A127" s="96">
        <v>1082</v>
      </c>
      <c r="B127" s="133" t="s">
        <v>358</v>
      </c>
      <c r="C127" s="110">
        <v>44672.800000000003</v>
      </c>
      <c r="D127" s="110">
        <v>84724.5</v>
      </c>
      <c r="E127" s="110">
        <v>107924</v>
      </c>
      <c r="F127" s="110">
        <v>142160</v>
      </c>
      <c r="G127" s="110">
        <v>169819</v>
      </c>
      <c r="H127" s="110">
        <v>312824</v>
      </c>
      <c r="I127" s="110">
        <v>628892</v>
      </c>
      <c r="J127" s="110">
        <v>782775</v>
      </c>
      <c r="K127" s="110">
        <v>896936</v>
      </c>
      <c r="L127" s="110">
        <v>1099331</v>
      </c>
      <c r="M127" s="110">
        <v>1326110</v>
      </c>
      <c r="N127" s="110">
        <v>1561640</v>
      </c>
      <c r="O127" s="110">
        <v>1766522</v>
      </c>
      <c r="P127" s="110">
        <v>2065006</v>
      </c>
      <c r="Q127" s="110">
        <v>2236373</v>
      </c>
      <c r="R127" s="110">
        <v>2393552</v>
      </c>
      <c r="S127" s="110">
        <v>2627585</v>
      </c>
      <c r="T127" s="110">
        <v>2763136</v>
      </c>
      <c r="U127" s="110">
        <v>2918778</v>
      </c>
      <c r="V127" s="110">
        <v>2955304</v>
      </c>
      <c r="W127" s="110"/>
      <c r="X127" s="110"/>
    </row>
    <row r="128" spans="1:26" ht="13.5" customHeight="1" x14ac:dyDescent="0.25">
      <c r="A128" s="96">
        <v>1045</v>
      </c>
      <c r="B128" s="133" t="s">
        <v>359</v>
      </c>
      <c r="C128" s="110">
        <v>44106.132130017417</v>
      </c>
      <c r="D128" s="110">
        <v>83649.782231014411</v>
      </c>
      <c r="E128" s="110">
        <v>106555</v>
      </c>
      <c r="F128" s="110">
        <v>140764</v>
      </c>
      <c r="G128" s="110">
        <v>168073</v>
      </c>
      <c r="H128" s="110">
        <v>308838</v>
      </c>
      <c r="I128" s="110">
        <v>623148</v>
      </c>
      <c r="J128" s="110">
        <v>774485</v>
      </c>
      <c r="K128" s="110">
        <v>888181</v>
      </c>
      <c r="L128" s="110">
        <v>1085767</v>
      </c>
      <c r="M128" s="110">
        <v>1309670</v>
      </c>
      <c r="N128" s="110">
        <v>1542213</v>
      </c>
      <c r="O128" s="110">
        <v>1742315</v>
      </c>
      <c r="P128" s="110">
        <v>2038480</v>
      </c>
      <c r="Q128" s="110">
        <v>2211136</v>
      </c>
      <c r="R128" s="110">
        <v>2366203</v>
      </c>
      <c r="S128" s="110">
        <v>2596434</v>
      </c>
      <c r="T128" s="110">
        <v>2727598</v>
      </c>
      <c r="U128" s="110">
        <v>2885535</v>
      </c>
      <c r="V128" s="110">
        <v>2921334</v>
      </c>
      <c r="W128" s="110">
        <v>2982448.7</v>
      </c>
      <c r="X128" s="110">
        <v>3041018.8</v>
      </c>
      <c r="Y128" s="110">
        <v>3164273.4984119432</v>
      </c>
    </row>
    <row r="129" spans="1:26" ht="13.5" customHeight="1" x14ac:dyDescent="0.25">
      <c r="A129" s="96">
        <v>1046</v>
      </c>
      <c r="B129" s="133" t="s">
        <v>360</v>
      </c>
      <c r="C129" s="110">
        <v>566.25394166265153</v>
      </c>
      <c r="D129" s="110">
        <v>1073.9327304399392</v>
      </c>
      <c r="E129" s="110">
        <v>1368</v>
      </c>
      <c r="F129" s="110">
        <v>1396</v>
      </c>
      <c r="G129" s="110">
        <v>1746</v>
      </c>
      <c r="H129" s="110">
        <v>3986</v>
      </c>
      <c r="I129" s="110">
        <v>5744</v>
      </c>
      <c r="J129" s="110">
        <v>8290</v>
      </c>
      <c r="K129" s="110">
        <v>8755</v>
      </c>
      <c r="L129" s="110">
        <v>13564</v>
      </c>
      <c r="M129" s="110">
        <v>16440</v>
      </c>
      <c r="N129" s="110">
        <v>19427</v>
      </c>
      <c r="O129" s="110">
        <v>24207</v>
      </c>
      <c r="P129" s="110">
        <v>26526</v>
      </c>
      <c r="Q129" s="110">
        <v>25237</v>
      </c>
      <c r="R129" s="110">
        <v>27349</v>
      </c>
      <c r="S129" s="110">
        <v>31152</v>
      </c>
      <c r="T129" s="110">
        <v>35538</v>
      </c>
      <c r="U129" s="110">
        <v>33244</v>
      </c>
      <c r="V129" s="110">
        <v>33555.699999999997</v>
      </c>
      <c r="W129" s="110">
        <v>37219.699999999997</v>
      </c>
      <c r="X129" s="110">
        <v>43975.199999999997</v>
      </c>
      <c r="Y129" s="110">
        <v>45538.910513516683</v>
      </c>
    </row>
    <row r="130" spans="1:26" ht="13.5" customHeight="1" x14ac:dyDescent="0.25">
      <c r="A130" s="96">
        <v>1070</v>
      </c>
      <c r="B130" s="133" t="s">
        <v>361</v>
      </c>
      <c r="C130" s="110">
        <v>4.7416999999999998</v>
      </c>
      <c r="D130" s="110">
        <v>4.9583000000000004</v>
      </c>
      <c r="E130" s="110">
        <v>5.6983000000000006</v>
      </c>
      <c r="F130" s="110">
        <v>11.07</v>
      </c>
      <c r="G130" s="110">
        <v>22.84</v>
      </c>
      <c r="H130" s="110">
        <v>54.741700000000002</v>
      </c>
      <c r="I130" s="110">
        <v>67.670100000000005</v>
      </c>
      <c r="J130" s="110">
        <v>64.191400000000002</v>
      </c>
      <c r="K130" s="110">
        <v>57.438300000000005</v>
      </c>
      <c r="L130" s="110">
        <v>58.692100000000003</v>
      </c>
      <c r="M130" s="110">
        <v>67.2059</v>
      </c>
      <c r="N130" s="110">
        <v>66.816999999999993</v>
      </c>
      <c r="O130" s="110">
        <v>58.151300000000006</v>
      </c>
      <c r="P130" s="110">
        <v>55.830300000000008</v>
      </c>
      <c r="Q130" s="110">
        <v>67.590299999999999</v>
      </c>
      <c r="R130" s="110">
        <v>78.575600000000009</v>
      </c>
      <c r="S130" s="110">
        <v>72.93719999999999</v>
      </c>
      <c r="T130" s="110">
        <v>87.992199999999997</v>
      </c>
      <c r="U130" s="110">
        <v>84.918500000000009</v>
      </c>
      <c r="V130" s="110">
        <v>89.081800000000001</v>
      </c>
      <c r="W130" s="110">
        <v>108.85429999999999</v>
      </c>
      <c r="X130" s="110">
        <v>111.2903</v>
      </c>
      <c r="Y130" s="91">
        <v>108</v>
      </c>
      <c r="Z130" s="91">
        <v>103</v>
      </c>
    </row>
    <row r="131" spans="1:26" ht="13.5" customHeight="1" x14ac:dyDescent="0.25">
      <c r="A131" s="96">
        <v>1078</v>
      </c>
      <c r="B131" s="133" t="s">
        <v>362</v>
      </c>
      <c r="C131" s="110">
        <v>1.5802567800000002</v>
      </c>
      <c r="D131" s="110">
        <v>2.8745695699999998</v>
      </c>
      <c r="E131" s="110">
        <v>3.3463847099999997</v>
      </c>
      <c r="F131" s="110">
        <v>4.1517651899999999</v>
      </c>
      <c r="G131" s="110">
        <v>5.4482895700000009</v>
      </c>
      <c r="H131" s="110">
        <v>9.51300524</v>
      </c>
      <c r="I131" s="110">
        <v>17.601727490000002</v>
      </c>
      <c r="J131" s="110">
        <v>20.46351611</v>
      </c>
      <c r="K131" s="110">
        <v>22.589321079999998</v>
      </c>
      <c r="L131" s="110">
        <v>23.98255799</v>
      </c>
      <c r="M131" s="110">
        <v>26.564362659999993</v>
      </c>
      <c r="N131" s="110">
        <v>28.021593869999993</v>
      </c>
      <c r="O131" s="110">
        <v>30.5202533</v>
      </c>
      <c r="P131" s="110">
        <v>31.400990760000003</v>
      </c>
      <c r="Q131" s="110">
        <v>33.322233610000012</v>
      </c>
      <c r="R131" s="110">
        <v>35.633136370000003</v>
      </c>
      <c r="S131" s="110">
        <v>37.467859820000001</v>
      </c>
      <c r="T131" s="110">
        <v>38.879037849999996</v>
      </c>
      <c r="U131" s="110">
        <v>41.558452369999998</v>
      </c>
      <c r="V131" s="110">
        <v>42.966844219999999</v>
      </c>
      <c r="W131" s="110">
        <v>42</v>
      </c>
      <c r="X131" s="110">
        <v>43</v>
      </c>
      <c r="Y131" s="110">
        <v>42.13</v>
      </c>
      <c r="Z131" s="91">
        <v>43</v>
      </c>
    </row>
    <row r="132" spans="1:26" ht="13.5" customHeight="1" x14ac:dyDescent="0.25">
      <c r="A132" s="96">
        <v>1202</v>
      </c>
      <c r="B132" s="143" t="s">
        <v>363</v>
      </c>
      <c r="C132" s="110">
        <v>9911.8780000000006</v>
      </c>
      <c r="D132" s="110">
        <v>9851.9580000000005</v>
      </c>
      <c r="E132" s="110">
        <v>9775.0079999999998</v>
      </c>
      <c r="F132" s="110">
        <v>9669.648000000001</v>
      </c>
      <c r="G132" s="110">
        <v>9559.8189999999995</v>
      </c>
      <c r="H132" s="110">
        <v>7516.3449999999993</v>
      </c>
      <c r="I132" s="110">
        <v>7503.4319999999989</v>
      </c>
      <c r="J132" s="110">
        <v>7496.5219999999999</v>
      </c>
      <c r="K132" s="110">
        <v>7480.5899999999992</v>
      </c>
      <c r="L132" s="110">
        <v>7463.1559999999999</v>
      </c>
      <c r="M132" s="110">
        <v>7440.7680000000009</v>
      </c>
      <c r="N132" s="110">
        <v>7411.5690000000004</v>
      </c>
      <c r="O132" s="110">
        <v>7381.5790000000006</v>
      </c>
      <c r="P132" s="110">
        <v>7350.2219999999998</v>
      </c>
      <c r="Q132" s="110">
        <v>7320.8069999999989</v>
      </c>
      <c r="R132" s="110">
        <v>7279.1130000000003</v>
      </c>
      <c r="S132" s="110">
        <v>7234.0990000000002</v>
      </c>
      <c r="T132" s="110">
        <v>7199.0769999999993</v>
      </c>
      <c r="U132" s="110">
        <v>7166.5529999999999</v>
      </c>
      <c r="V132" s="110">
        <v>7131.7869999999994</v>
      </c>
      <c r="W132" s="110">
        <v>7095.3829999999998</v>
      </c>
      <c r="X132" s="110">
        <v>7058.3220000000001</v>
      </c>
      <c r="Y132" s="110">
        <v>7040.2719999999999</v>
      </c>
      <c r="Z132" s="110">
        <v>7001.4440000000004</v>
      </c>
    </row>
    <row r="133" spans="1:26" ht="13.5" customHeight="1" x14ac:dyDescent="0.25">
      <c r="A133" s="92"/>
      <c r="B133" s="93"/>
      <c r="C133" s="107"/>
      <c r="D133" s="107"/>
      <c r="E133" s="145"/>
      <c r="F133" s="145"/>
      <c r="G133" s="145"/>
      <c r="H133" s="145"/>
      <c r="I133" s="145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spans="1:26" ht="13.5" customHeight="1" x14ac:dyDescent="0.25">
      <c r="A134" s="96"/>
      <c r="B134" s="133"/>
      <c r="C134" s="146"/>
      <c r="D134" s="146"/>
      <c r="E134" s="146"/>
      <c r="F134" s="146"/>
      <c r="G134" s="146"/>
      <c r="H134" s="110"/>
      <c r="I134" s="146"/>
      <c r="J134" s="146"/>
      <c r="K134" s="147"/>
      <c r="L134" s="147"/>
      <c r="M134" s="147"/>
      <c r="N134" s="147"/>
      <c r="O134" s="148"/>
      <c r="P134" s="148"/>
      <c r="Q134" s="148"/>
      <c r="R134" s="149"/>
      <c r="S134" s="150"/>
      <c r="T134" s="150"/>
      <c r="U134" s="150"/>
      <c r="V134" s="151"/>
      <c r="W134" s="151"/>
    </row>
    <row r="135" spans="1:26" ht="13.5" customHeight="1" x14ac:dyDescent="0.25">
      <c r="A135" s="96"/>
      <c r="B135" s="133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21"/>
      <c r="S135" s="121"/>
      <c r="T135" s="121"/>
      <c r="U135" s="127"/>
      <c r="V135" s="128"/>
    </row>
    <row r="136" spans="1:26" ht="12.75" customHeight="1" x14ac:dyDescent="0.25">
      <c r="B136" s="153"/>
      <c r="M136" s="148"/>
      <c r="R136" s="154"/>
      <c r="S136" s="155"/>
      <c r="T136" s="156"/>
      <c r="U136" s="155"/>
      <c r="V136" s="157"/>
      <c r="W136" s="157"/>
      <c r="X136" s="157"/>
    </row>
    <row r="137" spans="1:26" x14ac:dyDescent="0.25">
      <c r="B137" s="153"/>
      <c r="K137" s="158"/>
      <c r="L137" s="158"/>
      <c r="M137" s="158"/>
      <c r="N137" s="158"/>
      <c r="O137" s="158"/>
      <c r="P137" s="159"/>
      <c r="Q137" s="159"/>
      <c r="R137" s="160"/>
    </row>
    <row r="138" spans="1:26" x14ac:dyDescent="0.25">
      <c r="B138" s="153"/>
      <c r="M138" s="148"/>
      <c r="T138" s="156"/>
    </row>
    <row r="139" spans="1:26" x14ac:dyDescent="0.25">
      <c r="B139" s="153"/>
    </row>
    <row r="140" spans="1:26" x14ac:dyDescent="0.25">
      <c r="B140" s="153"/>
    </row>
    <row r="141" spans="1:26" x14ac:dyDescent="0.25">
      <c r="B141" s="153"/>
    </row>
    <row r="142" spans="1:26" x14ac:dyDescent="0.25">
      <c r="B142" s="153"/>
      <c r="K142" s="148"/>
    </row>
    <row r="143" spans="1:26" x14ac:dyDescent="0.25">
      <c r="A143" s="91"/>
      <c r="B143" s="153"/>
      <c r="K143" s="148"/>
      <c r="R143" s="91"/>
      <c r="S143" s="91"/>
      <c r="T143" s="91"/>
      <c r="U143" s="91"/>
    </row>
    <row r="144" spans="1:26" x14ac:dyDescent="0.25">
      <c r="A144" s="91"/>
      <c r="B144" s="153"/>
      <c r="K144" s="148"/>
      <c r="R144" s="91"/>
      <c r="S144" s="91"/>
      <c r="T144" s="91"/>
      <c r="U144" s="91"/>
    </row>
    <row r="145" spans="1:21" ht="12.75" customHeight="1" x14ac:dyDescent="0.25">
      <c r="A145" s="91"/>
      <c r="B145" s="153"/>
      <c r="K145" s="148"/>
      <c r="R145" s="91"/>
      <c r="S145" s="91"/>
      <c r="T145" s="91"/>
      <c r="U145" s="91"/>
    </row>
    <row r="146" spans="1:21" x14ac:dyDescent="0.25">
      <c r="A146" s="91"/>
      <c r="B146" s="153"/>
      <c r="K146" s="148"/>
      <c r="R146" s="91"/>
      <c r="S146" s="91"/>
      <c r="T146" s="91"/>
      <c r="U146" s="91"/>
    </row>
    <row r="151" spans="1:21" ht="12.75" customHeight="1" x14ac:dyDescent="0.25">
      <c r="A151" s="91"/>
      <c r="R151" s="91"/>
      <c r="S151" s="91"/>
      <c r="T151" s="91"/>
      <c r="U151" s="91"/>
    </row>
    <row r="152" spans="1:21" x14ac:dyDescent="0.25">
      <c r="A152" s="91"/>
      <c r="B152" s="161"/>
      <c r="R152" s="91"/>
      <c r="S152" s="91"/>
      <c r="T152" s="91"/>
      <c r="U152" s="91"/>
    </row>
    <row r="153" spans="1:21" ht="12.75" customHeight="1" x14ac:dyDescent="0.25">
      <c r="A153" s="91"/>
      <c r="B153" s="161"/>
      <c r="R153" s="91"/>
      <c r="S153" s="91"/>
      <c r="T153" s="91"/>
      <c r="U153" s="91"/>
    </row>
    <row r="154" spans="1:21" ht="12.75" customHeight="1" x14ac:dyDescent="0.25">
      <c r="A154" s="91"/>
      <c r="B154" s="161"/>
      <c r="R154" s="91"/>
      <c r="S154" s="91"/>
      <c r="T154" s="91"/>
      <c r="U154" s="91"/>
    </row>
    <row r="155" spans="1:21" ht="12.75" customHeight="1" x14ac:dyDescent="0.25">
      <c r="A155" s="91"/>
      <c r="B155" s="161"/>
      <c r="R155" s="91"/>
      <c r="S155" s="91"/>
      <c r="T155" s="91"/>
      <c r="U155" s="91"/>
    </row>
    <row r="156" spans="1:21" ht="12.75" customHeight="1" x14ac:dyDescent="0.25">
      <c r="A156" s="91"/>
      <c r="B156" s="161"/>
      <c r="R156" s="91"/>
      <c r="S156" s="91"/>
      <c r="T156" s="91"/>
      <c r="U156" s="91"/>
    </row>
    <row r="157" spans="1:21" ht="12.75" customHeight="1" x14ac:dyDescent="0.25">
      <c r="A157" s="91"/>
      <c r="B157" s="161"/>
      <c r="R157" s="91"/>
      <c r="S157" s="91"/>
      <c r="T157" s="91"/>
      <c r="U157" s="91"/>
    </row>
    <row r="158" spans="1:21" ht="12.75" customHeight="1" x14ac:dyDescent="0.25">
      <c r="A158" s="91"/>
      <c r="B158" s="161"/>
      <c r="R158" s="91"/>
      <c r="S158" s="91"/>
      <c r="T158" s="91"/>
      <c r="U158" s="91"/>
    </row>
    <row r="159" spans="1:21" ht="12.75" customHeight="1" x14ac:dyDescent="0.25">
      <c r="A159" s="91"/>
      <c r="B159" s="161"/>
      <c r="C159" s="91"/>
      <c r="D159" s="91"/>
      <c r="E159" s="91"/>
      <c r="F159" s="91"/>
      <c r="G159" s="91"/>
      <c r="R159" s="91"/>
      <c r="S159" s="91"/>
      <c r="T159" s="91"/>
      <c r="U159" s="91"/>
    </row>
    <row r="160" spans="1:21" ht="12.75" customHeight="1" x14ac:dyDescent="0.25">
      <c r="A160" s="91"/>
      <c r="B160" s="161"/>
      <c r="C160" s="91"/>
      <c r="D160" s="91"/>
      <c r="E160" s="91"/>
      <c r="F160" s="91"/>
      <c r="G160" s="91"/>
      <c r="R160" s="91"/>
      <c r="S160" s="91"/>
      <c r="T160" s="91"/>
      <c r="U160" s="91"/>
    </row>
    <row r="161" spans="1:21" ht="12.75" customHeight="1" x14ac:dyDescent="0.25">
      <c r="A161" s="91"/>
      <c r="B161" s="162"/>
      <c r="C161" s="91"/>
      <c r="D161" s="91"/>
      <c r="E161" s="91"/>
      <c r="F161" s="91"/>
      <c r="G161" s="91"/>
      <c r="R161" s="91"/>
      <c r="S161" s="91"/>
      <c r="T161" s="91"/>
      <c r="U161" s="91"/>
    </row>
    <row r="162" spans="1:21" ht="12.75" customHeight="1" x14ac:dyDescent="0.25">
      <c r="A162" s="91"/>
      <c r="C162" s="91"/>
      <c r="D162" s="91"/>
      <c r="E162" s="91"/>
      <c r="F162" s="91"/>
      <c r="G162" s="91"/>
      <c r="R162" s="91"/>
      <c r="S162" s="91"/>
      <c r="T162" s="91"/>
      <c r="U162" s="91"/>
    </row>
    <row r="163" spans="1:21" ht="12.75" customHeight="1" x14ac:dyDescent="0.25">
      <c r="A163" s="91"/>
      <c r="C163" s="91"/>
      <c r="D163" s="91"/>
      <c r="E163" s="91"/>
      <c r="F163" s="91"/>
      <c r="G163" s="91"/>
      <c r="R163" s="91"/>
      <c r="S163" s="91"/>
      <c r="T163" s="91"/>
      <c r="U163" s="91"/>
    </row>
    <row r="164" spans="1:21" x14ac:dyDescent="0.25">
      <c r="A164" s="91"/>
      <c r="B164" s="162"/>
      <c r="C164" s="91"/>
      <c r="D164" s="91"/>
      <c r="E164" s="91"/>
      <c r="F164" s="91"/>
      <c r="G164" s="91"/>
      <c r="R164" s="91"/>
      <c r="S164" s="91"/>
      <c r="T164" s="91"/>
      <c r="U164" s="91"/>
    </row>
  </sheetData>
  <mergeCells count="2">
    <mergeCell ref="A1:A2"/>
    <mergeCell ref="B1:N2"/>
  </mergeCells>
  <conditionalFormatting sqref="B104 B123:B131 B106:B120 B86 U122 U103 U88 B80 B82 U68 B41:B42 B36:B39 U35 B14:B28 U43 B32 B4:B5 B7:B10 U29 B134:B135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HFxFS</vt:lpstr>
      <vt:lpstr>HFxHP</vt:lpstr>
      <vt:lpstr>HFxHP tot</vt:lpstr>
      <vt:lpstr>HPxHC</vt:lpstr>
      <vt:lpstr>HPxHCtot</vt:lpstr>
      <vt:lpstr>HFxHC</vt:lpstr>
      <vt:lpstr>HFxHCtot</vt:lpstr>
      <vt:lpstr>indikatori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2019-11-25T11:43:05Z</dcterms:modified>
</cp:coreProperties>
</file>